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dex" sheetId="1" state="visible" r:id="rId1"/>
    <sheet name="Glossary" sheetId="2" state="visible" r:id="rId2"/>
    <sheet name="Requirements" sheetId="3" state="visible" r:id="rId3"/>
  </sheets>
  <definedNames>
    <definedName name="_xlnm._FilterDatabase" localSheetId="0" hidden="1">'Index'!$A$1:$B$10447</definedName>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10446"/>
  <sheetViews>
    <sheetView workbookViewId="0">
      <selection activeCell="A1" sqref="A1"/>
    </sheetView>
  </sheetViews>
  <sheetFormatPr baseColWidth="8" defaultRowHeight="15"/>
  <cols>
    <col width="25" customWidth="1" min="1" max="1"/>
    <col width="80" customWidth="1" min="2" max="2"/>
  </cols>
  <sheetData>
    <row r="1">
      <c r="A1" t="inlineStr">
        <is>
          <t>Glossary term</t>
        </is>
      </c>
      <c r="B1" t="inlineStr">
        <is>
          <t>Requirement</t>
        </is>
      </c>
    </row>
    <row r="2">
      <c r="A2" t="inlineStr">
        <is>
          <t xml:space="preserve">home </t>
        </is>
      </c>
      <c r="B2">
        <f>VLOOKUP(11,Requirements!A2:B2967,2,FALSE)</f>
        <v/>
      </c>
    </row>
    <row r="3">
      <c r="A3" t="inlineStr">
        <is>
          <t xml:space="preserve">home </t>
        </is>
      </c>
      <c r="B3">
        <f>VLOOKUP(12,Requirements!A2:B2967,2,FALSE)</f>
        <v/>
      </c>
    </row>
    <row r="4">
      <c r="A4" t="inlineStr">
        <is>
          <t xml:space="preserve">home </t>
        </is>
      </c>
      <c r="B4">
        <f>VLOOKUP(13,Requirements!A2:B2967,2,FALSE)</f>
        <v/>
      </c>
    </row>
    <row r="5">
      <c r="A5" t="inlineStr">
        <is>
          <t xml:space="preserve">home </t>
        </is>
      </c>
      <c r="B5">
        <f>VLOOKUP(14,Requirements!A2:B2967,2,FALSE)</f>
        <v/>
      </c>
    </row>
    <row r="6">
      <c r="A6" t="inlineStr">
        <is>
          <t xml:space="preserve">home </t>
        </is>
      </c>
      <c r="B6">
        <f>VLOOKUP(17,Requirements!A2:B2967,2,FALSE)</f>
        <v/>
      </c>
    </row>
    <row r="7">
      <c r="A7" t="inlineStr">
        <is>
          <t xml:space="preserve">home </t>
        </is>
      </c>
      <c r="B7">
        <f>VLOOKUP(18,Requirements!A2:B2967,2,FALSE)</f>
        <v/>
      </c>
    </row>
    <row r="8">
      <c r="A8" t="inlineStr">
        <is>
          <t xml:space="preserve">home </t>
        </is>
      </c>
      <c r="B8">
        <f>VLOOKUP(19,Requirements!A2:B2967,2,FALSE)</f>
        <v/>
      </c>
    </row>
    <row r="9">
      <c r="A9" t="inlineStr">
        <is>
          <t xml:space="preserve">home </t>
        </is>
      </c>
      <c r="B9">
        <f>VLOOKUP(20,Requirements!A2:B2967,2,FALSE)</f>
        <v/>
      </c>
    </row>
    <row r="10">
      <c r="A10" t="inlineStr">
        <is>
          <t xml:space="preserve">home </t>
        </is>
      </c>
      <c r="B10">
        <f>VLOOKUP(21,Requirements!A2:B2967,2,FALSE)</f>
        <v/>
      </c>
    </row>
    <row r="11">
      <c r="A11" t="inlineStr">
        <is>
          <t xml:space="preserve">home </t>
        </is>
      </c>
      <c r="B11">
        <f>VLOOKUP(23,Requirements!A2:B2967,2,FALSE)</f>
        <v/>
      </c>
    </row>
    <row r="12">
      <c r="A12" t="inlineStr">
        <is>
          <t xml:space="preserve">home </t>
        </is>
      </c>
      <c r="B12">
        <f>VLOOKUP(24,Requirements!A2:B2967,2,FALSE)</f>
        <v/>
      </c>
    </row>
    <row r="13">
      <c r="A13" t="inlineStr">
        <is>
          <t xml:space="preserve">home </t>
        </is>
      </c>
      <c r="B13">
        <f>VLOOKUP(25,Requirements!A2:B2967,2,FALSE)</f>
        <v/>
      </c>
    </row>
    <row r="14">
      <c r="A14" t="inlineStr">
        <is>
          <t xml:space="preserve">home </t>
        </is>
      </c>
      <c r="B14">
        <f>VLOOKUP(26,Requirements!A2:B2967,2,FALSE)</f>
        <v/>
      </c>
    </row>
    <row r="15">
      <c r="A15" t="inlineStr">
        <is>
          <t xml:space="preserve">home </t>
        </is>
      </c>
      <c r="B15">
        <f>VLOOKUP(27,Requirements!A2:B2967,2,FALSE)</f>
        <v/>
      </c>
    </row>
    <row r="16">
      <c r="A16" t="inlineStr">
        <is>
          <t xml:space="preserve">home </t>
        </is>
      </c>
      <c r="B16">
        <f>VLOOKUP(31,Requirements!A2:B2967,2,FALSE)</f>
        <v/>
      </c>
    </row>
    <row r="17">
      <c r="A17" t="inlineStr">
        <is>
          <t xml:space="preserve">home </t>
        </is>
      </c>
      <c r="B17">
        <f>VLOOKUP(33,Requirements!A2:B2967,2,FALSE)</f>
        <v/>
      </c>
    </row>
    <row r="18">
      <c r="A18" t="inlineStr">
        <is>
          <t xml:space="preserve">home </t>
        </is>
      </c>
      <c r="B18">
        <f>VLOOKUP(34,Requirements!A2:B2967,2,FALSE)</f>
        <v/>
      </c>
    </row>
    <row r="19">
      <c r="A19" t="inlineStr">
        <is>
          <t xml:space="preserve">home </t>
        </is>
      </c>
      <c r="B19">
        <f>VLOOKUP(35,Requirements!A2:B2967,2,FALSE)</f>
        <v/>
      </c>
    </row>
    <row r="20">
      <c r="A20" t="inlineStr">
        <is>
          <t xml:space="preserve">home </t>
        </is>
      </c>
      <c r="B20">
        <f>VLOOKUP(37,Requirements!A2:B2967,2,FALSE)</f>
        <v/>
      </c>
    </row>
    <row r="21">
      <c r="A21" t="inlineStr">
        <is>
          <t xml:space="preserve">home </t>
        </is>
      </c>
      <c r="B21">
        <f>VLOOKUP(38,Requirements!A2:B2967,2,FALSE)</f>
        <v/>
      </c>
    </row>
    <row r="22">
      <c r="A22" t="inlineStr">
        <is>
          <t xml:space="preserve">home </t>
        </is>
      </c>
      <c r="B22">
        <f>VLOOKUP(41,Requirements!A2:B2967,2,FALSE)</f>
        <v/>
      </c>
    </row>
    <row r="23">
      <c r="A23" t="inlineStr">
        <is>
          <t xml:space="preserve">home </t>
        </is>
      </c>
      <c r="B23">
        <f>VLOOKUP(43,Requirements!A2:B2967,2,FALSE)</f>
        <v/>
      </c>
    </row>
    <row r="24">
      <c r="A24" t="inlineStr">
        <is>
          <t xml:space="preserve">home </t>
        </is>
      </c>
      <c r="B24">
        <f>VLOOKUP(45,Requirements!A2:B2967,2,FALSE)</f>
        <v/>
      </c>
    </row>
    <row r="25">
      <c r="A25" t="inlineStr">
        <is>
          <t xml:space="preserve">home </t>
        </is>
      </c>
      <c r="B25">
        <f>VLOOKUP(47,Requirements!A2:B2967,2,FALSE)</f>
        <v/>
      </c>
    </row>
    <row r="26">
      <c r="A26" t="inlineStr">
        <is>
          <t xml:space="preserve">home </t>
        </is>
      </c>
      <c r="B26">
        <f>VLOOKUP(50,Requirements!A2:B2967,2,FALSE)</f>
        <v/>
      </c>
    </row>
    <row r="27">
      <c r="A27" t="inlineStr">
        <is>
          <t xml:space="preserve">home </t>
        </is>
      </c>
      <c r="B27">
        <f>VLOOKUP(55,Requirements!A2:B2967,2,FALSE)</f>
        <v/>
      </c>
    </row>
    <row r="28">
      <c r="A28" t="inlineStr">
        <is>
          <t xml:space="preserve">home </t>
        </is>
      </c>
      <c r="B28">
        <f>VLOOKUP(60,Requirements!A2:B2967,2,FALSE)</f>
        <v/>
      </c>
    </row>
    <row r="29">
      <c r="A29" t="inlineStr">
        <is>
          <t xml:space="preserve">home </t>
        </is>
      </c>
      <c r="B29">
        <f>VLOOKUP(63,Requirements!A2:B2967,2,FALSE)</f>
        <v/>
      </c>
    </row>
    <row r="30">
      <c r="A30" t="inlineStr">
        <is>
          <t xml:space="preserve">home </t>
        </is>
      </c>
      <c r="B30">
        <f>VLOOKUP(64,Requirements!A2:B2967,2,FALSE)</f>
        <v/>
      </c>
    </row>
    <row r="31">
      <c r="A31" t="inlineStr">
        <is>
          <t xml:space="preserve">home </t>
        </is>
      </c>
      <c r="B31">
        <f>VLOOKUP(66,Requirements!A2:B2967,2,FALSE)</f>
        <v/>
      </c>
    </row>
    <row r="32">
      <c r="A32" t="inlineStr">
        <is>
          <t xml:space="preserve">home </t>
        </is>
      </c>
      <c r="B32">
        <f>VLOOKUP(69,Requirements!A2:B2967,2,FALSE)</f>
        <v/>
      </c>
    </row>
    <row r="33">
      <c r="A33" t="inlineStr">
        <is>
          <t xml:space="preserve">home </t>
        </is>
      </c>
      <c r="B33">
        <f>VLOOKUP(73,Requirements!A2:B2967,2,FALSE)</f>
        <v/>
      </c>
    </row>
    <row r="34">
      <c r="A34" t="inlineStr">
        <is>
          <t xml:space="preserve">home </t>
        </is>
      </c>
      <c r="B34">
        <f>VLOOKUP(82,Requirements!A2:B2967,2,FALSE)</f>
        <v/>
      </c>
    </row>
    <row r="35">
      <c r="A35" t="inlineStr">
        <is>
          <t xml:space="preserve">home </t>
        </is>
      </c>
      <c r="B35">
        <f>VLOOKUP(87,Requirements!A2:B2967,2,FALSE)</f>
        <v/>
      </c>
    </row>
    <row r="36">
      <c r="A36" t="inlineStr">
        <is>
          <t xml:space="preserve">home </t>
        </is>
      </c>
      <c r="B36">
        <f>VLOOKUP(91,Requirements!A2:B2967,2,FALSE)</f>
        <v/>
      </c>
    </row>
    <row r="37">
      <c r="A37" t="inlineStr">
        <is>
          <t xml:space="preserve">home </t>
        </is>
      </c>
      <c r="B37">
        <f>VLOOKUP(94,Requirements!A2:B2967,2,FALSE)</f>
        <v/>
      </c>
    </row>
    <row r="38">
      <c r="A38" t="inlineStr">
        <is>
          <t xml:space="preserve">home </t>
        </is>
      </c>
      <c r="B38">
        <f>VLOOKUP(103,Requirements!A2:B2967,2,FALSE)</f>
        <v/>
      </c>
    </row>
    <row r="39">
      <c r="A39" t="inlineStr">
        <is>
          <t xml:space="preserve">home </t>
        </is>
      </c>
      <c r="B39">
        <f>VLOOKUP(106,Requirements!A2:B2967,2,FALSE)</f>
        <v/>
      </c>
    </row>
    <row r="40">
      <c r="A40" t="inlineStr">
        <is>
          <t xml:space="preserve">home </t>
        </is>
      </c>
      <c r="B40">
        <f>VLOOKUP(114,Requirements!A2:B2967,2,FALSE)</f>
        <v/>
      </c>
    </row>
    <row r="41">
      <c r="A41" t="inlineStr">
        <is>
          <t xml:space="preserve">home </t>
        </is>
      </c>
      <c r="B41">
        <f>VLOOKUP(122,Requirements!A2:B2967,2,FALSE)</f>
        <v/>
      </c>
    </row>
    <row r="42">
      <c r="A42" t="inlineStr">
        <is>
          <t xml:space="preserve">home </t>
        </is>
      </c>
      <c r="B42">
        <f>VLOOKUP(125,Requirements!A2:B2967,2,FALSE)</f>
        <v/>
      </c>
    </row>
    <row r="43">
      <c r="A43" t="inlineStr">
        <is>
          <t xml:space="preserve">home </t>
        </is>
      </c>
      <c r="B43">
        <f>VLOOKUP(127,Requirements!A2:B2967,2,FALSE)</f>
        <v/>
      </c>
    </row>
    <row r="44">
      <c r="A44" t="inlineStr">
        <is>
          <t xml:space="preserve">home </t>
        </is>
      </c>
      <c r="B44">
        <f>VLOOKUP(128,Requirements!A2:B2967,2,FALSE)</f>
        <v/>
      </c>
    </row>
    <row r="45">
      <c r="A45" t="inlineStr">
        <is>
          <t xml:space="preserve">home </t>
        </is>
      </c>
      <c r="B45">
        <f>VLOOKUP(129,Requirements!A2:B2967,2,FALSE)</f>
        <v/>
      </c>
    </row>
    <row r="46">
      <c r="A46" t="inlineStr">
        <is>
          <t xml:space="preserve">home </t>
        </is>
      </c>
      <c r="B46">
        <f>VLOOKUP(130,Requirements!A2:B2967,2,FALSE)</f>
        <v/>
      </c>
    </row>
    <row r="47">
      <c r="A47" t="inlineStr">
        <is>
          <t xml:space="preserve">home </t>
        </is>
      </c>
      <c r="B47">
        <f>VLOOKUP(138,Requirements!A2:B2967,2,FALSE)</f>
        <v/>
      </c>
    </row>
    <row r="48">
      <c r="A48" t="inlineStr">
        <is>
          <t xml:space="preserve">home </t>
        </is>
      </c>
      <c r="B48">
        <f>VLOOKUP(141,Requirements!A2:B2967,2,FALSE)</f>
        <v/>
      </c>
    </row>
    <row r="49">
      <c r="A49" t="inlineStr">
        <is>
          <t xml:space="preserve">home </t>
        </is>
      </c>
      <c r="B49">
        <f>VLOOKUP(143,Requirements!A2:B2967,2,FALSE)</f>
        <v/>
      </c>
    </row>
    <row r="50">
      <c r="A50" t="inlineStr">
        <is>
          <t xml:space="preserve">home </t>
        </is>
      </c>
      <c r="B50">
        <f>VLOOKUP(144,Requirements!A2:B2967,2,FALSE)</f>
        <v/>
      </c>
    </row>
    <row r="51">
      <c r="A51" t="inlineStr">
        <is>
          <t xml:space="preserve">home </t>
        </is>
      </c>
      <c r="B51">
        <f>VLOOKUP(146,Requirements!A2:B2967,2,FALSE)</f>
        <v/>
      </c>
    </row>
    <row r="52">
      <c r="A52" t="inlineStr">
        <is>
          <t xml:space="preserve">home </t>
        </is>
      </c>
      <c r="B52">
        <f>VLOOKUP(149,Requirements!A2:B2967,2,FALSE)</f>
        <v/>
      </c>
    </row>
    <row r="53">
      <c r="A53" t="inlineStr">
        <is>
          <t xml:space="preserve">home </t>
        </is>
      </c>
      <c r="B53">
        <f>VLOOKUP(152,Requirements!A2:B2967,2,FALSE)</f>
        <v/>
      </c>
    </row>
    <row r="54">
      <c r="A54" t="inlineStr">
        <is>
          <t xml:space="preserve">home </t>
        </is>
      </c>
      <c r="B54">
        <f>VLOOKUP(155,Requirements!A2:B2967,2,FALSE)</f>
        <v/>
      </c>
    </row>
    <row r="55">
      <c r="A55" t="inlineStr">
        <is>
          <t xml:space="preserve">home </t>
        </is>
      </c>
      <c r="B55">
        <f>VLOOKUP(156,Requirements!A2:B2967,2,FALSE)</f>
        <v/>
      </c>
    </row>
    <row r="56">
      <c r="A56" t="inlineStr">
        <is>
          <t xml:space="preserve">home </t>
        </is>
      </c>
      <c r="B56">
        <f>VLOOKUP(160,Requirements!A2:B2967,2,FALSE)</f>
        <v/>
      </c>
    </row>
    <row r="57">
      <c r="A57" t="inlineStr">
        <is>
          <t xml:space="preserve">home </t>
        </is>
      </c>
      <c r="B57">
        <f>VLOOKUP(163,Requirements!A2:B2967,2,FALSE)</f>
        <v/>
      </c>
    </row>
    <row r="58">
      <c r="A58" t="inlineStr">
        <is>
          <t xml:space="preserve">home </t>
        </is>
      </c>
      <c r="B58">
        <f>VLOOKUP(165,Requirements!A2:B2967,2,FALSE)</f>
        <v/>
      </c>
    </row>
    <row r="59">
      <c r="A59" t="inlineStr">
        <is>
          <t xml:space="preserve">home </t>
        </is>
      </c>
      <c r="B59">
        <f>VLOOKUP(166,Requirements!A2:B2967,2,FALSE)</f>
        <v/>
      </c>
    </row>
    <row r="60">
      <c r="A60" t="inlineStr">
        <is>
          <t xml:space="preserve">home </t>
        </is>
      </c>
      <c r="B60">
        <f>VLOOKUP(168,Requirements!A2:B2967,2,FALSE)</f>
        <v/>
      </c>
    </row>
    <row r="61">
      <c r="A61" t="inlineStr">
        <is>
          <t xml:space="preserve">home </t>
        </is>
      </c>
      <c r="B61">
        <f>VLOOKUP(169,Requirements!A2:B2967,2,FALSE)</f>
        <v/>
      </c>
    </row>
    <row r="62">
      <c r="A62" t="inlineStr">
        <is>
          <t xml:space="preserve">home </t>
        </is>
      </c>
      <c r="B62">
        <f>VLOOKUP(171,Requirements!A2:B2967,2,FALSE)</f>
        <v/>
      </c>
    </row>
    <row r="63">
      <c r="A63" t="inlineStr">
        <is>
          <t xml:space="preserve">home </t>
        </is>
      </c>
      <c r="B63">
        <f>VLOOKUP(173,Requirements!A2:B2967,2,FALSE)</f>
        <v/>
      </c>
    </row>
    <row r="64">
      <c r="A64" t="inlineStr">
        <is>
          <t xml:space="preserve">home </t>
        </is>
      </c>
      <c r="B64">
        <f>VLOOKUP(176,Requirements!A2:B2967,2,FALSE)</f>
        <v/>
      </c>
    </row>
    <row r="65">
      <c r="A65" t="inlineStr">
        <is>
          <t xml:space="preserve">home </t>
        </is>
      </c>
      <c r="B65">
        <f>VLOOKUP(178,Requirements!A2:B2967,2,FALSE)</f>
        <v/>
      </c>
    </row>
    <row r="66">
      <c r="A66" t="inlineStr">
        <is>
          <t xml:space="preserve">home </t>
        </is>
      </c>
      <c r="B66">
        <f>VLOOKUP(181,Requirements!A2:B2967,2,FALSE)</f>
        <v/>
      </c>
    </row>
    <row r="67">
      <c r="A67" t="inlineStr">
        <is>
          <t xml:space="preserve">home </t>
        </is>
      </c>
      <c r="B67">
        <f>VLOOKUP(184,Requirements!A2:B2967,2,FALSE)</f>
        <v/>
      </c>
    </row>
    <row r="68">
      <c r="A68" t="inlineStr">
        <is>
          <t xml:space="preserve">home </t>
        </is>
      </c>
      <c r="B68">
        <f>VLOOKUP(186,Requirements!A2:B2967,2,FALSE)</f>
        <v/>
      </c>
    </row>
    <row r="69">
      <c r="A69" t="inlineStr">
        <is>
          <t xml:space="preserve">home </t>
        </is>
      </c>
      <c r="B69">
        <f>VLOOKUP(187,Requirements!A2:B2967,2,FALSE)</f>
        <v/>
      </c>
    </row>
    <row r="70">
      <c r="A70" t="inlineStr">
        <is>
          <t xml:space="preserve">home </t>
        </is>
      </c>
      <c r="B70">
        <f>VLOOKUP(188,Requirements!A2:B2967,2,FALSE)</f>
        <v/>
      </c>
    </row>
    <row r="71">
      <c r="A71" t="inlineStr">
        <is>
          <t xml:space="preserve">home </t>
        </is>
      </c>
      <c r="B71">
        <f>VLOOKUP(190,Requirements!A2:B2967,2,FALSE)</f>
        <v/>
      </c>
    </row>
    <row r="72">
      <c r="A72" t="inlineStr">
        <is>
          <t xml:space="preserve">home </t>
        </is>
      </c>
      <c r="B72">
        <f>VLOOKUP(192,Requirements!A2:B2967,2,FALSE)</f>
        <v/>
      </c>
    </row>
    <row r="73">
      <c r="A73" t="inlineStr">
        <is>
          <t xml:space="preserve">home </t>
        </is>
      </c>
      <c r="B73">
        <f>VLOOKUP(195,Requirements!A2:B2967,2,FALSE)</f>
        <v/>
      </c>
    </row>
    <row r="74">
      <c r="A74" t="inlineStr">
        <is>
          <t xml:space="preserve">home </t>
        </is>
      </c>
      <c r="B74">
        <f>VLOOKUP(196,Requirements!A2:B2967,2,FALSE)</f>
        <v/>
      </c>
    </row>
    <row r="75">
      <c r="A75" t="inlineStr">
        <is>
          <t xml:space="preserve">home </t>
        </is>
      </c>
      <c r="B75">
        <f>VLOOKUP(197,Requirements!A2:B2967,2,FALSE)</f>
        <v/>
      </c>
    </row>
    <row r="76">
      <c r="A76" t="inlineStr">
        <is>
          <t xml:space="preserve">home </t>
        </is>
      </c>
      <c r="B76">
        <f>VLOOKUP(198,Requirements!A2:B2967,2,FALSE)</f>
        <v/>
      </c>
    </row>
    <row r="77">
      <c r="A77" t="inlineStr">
        <is>
          <t xml:space="preserve">home </t>
        </is>
      </c>
      <c r="B77">
        <f>VLOOKUP(199,Requirements!A2:B2967,2,FALSE)</f>
        <v/>
      </c>
    </row>
    <row r="78">
      <c r="A78" t="inlineStr">
        <is>
          <t xml:space="preserve">home </t>
        </is>
      </c>
      <c r="B78">
        <f>VLOOKUP(200,Requirements!A2:B2967,2,FALSE)</f>
        <v/>
      </c>
    </row>
    <row r="79">
      <c r="A79" t="inlineStr">
        <is>
          <t xml:space="preserve">home </t>
        </is>
      </c>
      <c r="B79">
        <f>VLOOKUP(201,Requirements!A2:B2967,2,FALSE)</f>
        <v/>
      </c>
    </row>
    <row r="80">
      <c r="A80" t="inlineStr">
        <is>
          <t xml:space="preserve">home </t>
        </is>
      </c>
      <c r="B80">
        <f>VLOOKUP(202,Requirements!A2:B2967,2,FALSE)</f>
        <v/>
      </c>
    </row>
    <row r="81">
      <c r="A81" t="inlineStr">
        <is>
          <t xml:space="preserve">home </t>
        </is>
      </c>
      <c r="B81">
        <f>VLOOKUP(204,Requirements!A2:B2967,2,FALSE)</f>
        <v/>
      </c>
    </row>
    <row r="82">
      <c r="A82" t="inlineStr">
        <is>
          <t xml:space="preserve">home </t>
        </is>
      </c>
      <c r="B82">
        <f>VLOOKUP(206,Requirements!A2:B2967,2,FALSE)</f>
        <v/>
      </c>
    </row>
    <row r="83">
      <c r="A83" t="inlineStr">
        <is>
          <t xml:space="preserve">home </t>
        </is>
      </c>
      <c r="B83">
        <f>VLOOKUP(207,Requirements!A2:B2967,2,FALSE)</f>
        <v/>
      </c>
    </row>
    <row r="84">
      <c r="A84" t="inlineStr">
        <is>
          <t xml:space="preserve">home </t>
        </is>
      </c>
      <c r="B84">
        <f>VLOOKUP(218,Requirements!A2:B2967,2,FALSE)</f>
        <v/>
      </c>
    </row>
    <row r="85">
      <c r="A85" t="inlineStr">
        <is>
          <t xml:space="preserve">home </t>
        </is>
      </c>
      <c r="B85">
        <f>VLOOKUP(219,Requirements!A2:B2967,2,FALSE)</f>
        <v/>
      </c>
    </row>
    <row r="86">
      <c r="A86" t="inlineStr">
        <is>
          <t xml:space="preserve">home </t>
        </is>
      </c>
      <c r="B86">
        <f>VLOOKUP(222,Requirements!A2:B2967,2,FALSE)</f>
        <v/>
      </c>
    </row>
    <row r="87">
      <c r="A87" t="inlineStr">
        <is>
          <t xml:space="preserve">home </t>
        </is>
      </c>
      <c r="B87">
        <f>VLOOKUP(226,Requirements!A2:B2967,2,FALSE)</f>
        <v/>
      </c>
    </row>
    <row r="88">
      <c r="A88" t="inlineStr">
        <is>
          <t xml:space="preserve">home </t>
        </is>
      </c>
      <c r="B88">
        <f>VLOOKUP(235,Requirements!A2:B2967,2,FALSE)</f>
        <v/>
      </c>
    </row>
    <row r="89">
      <c r="A89" t="inlineStr">
        <is>
          <t xml:space="preserve">home </t>
        </is>
      </c>
      <c r="B89">
        <f>VLOOKUP(238,Requirements!A2:B2967,2,FALSE)</f>
        <v/>
      </c>
    </row>
    <row r="90">
      <c r="A90" t="inlineStr">
        <is>
          <t xml:space="preserve">home </t>
        </is>
      </c>
      <c r="B90">
        <f>VLOOKUP(244,Requirements!A2:B2967,2,FALSE)</f>
        <v/>
      </c>
    </row>
    <row r="91">
      <c r="A91" t="inlineStr">
        <is>
          <t xml:space="preserve">home </t>
        </is>
      </c>
      <c r="B91">
        <f>VLOOKUP(247,Requirements!A2:B2967,2,FALSE)</f>
        <v/>
      </c>
    </row>
    <row r="92">
      <c r="A92" t="inlineStr">
        <is>
          <t xml:space="preserve">home </t>
        </is>
      </c>
      <c r="B92">
        <f>VLOOKUP(250,Requirements!A2:B2967,2,FALSE)</f>
        <v/>
      </c>
    </row>
    <row r="93">
      <c r="A93" t="inlineStr">
        <is>
          <t xml:space="preserve">home </t>
        </is>
      </c>
      <c r="B93">
        <f>VLOOKUP(251,Requirements!A2:B2967,2,FALSE)</f>
        <v/>
      </c>
    </row>
    <row r="94">
      <c r="A94" t="inlineStr">
        <is>
          <t xml:space="preserve">home </t>
        </is>
      </c>
      <c r="B94">
        <f>VLOOKUP(255,Requirements!A2:B2967,2,FALSE)</f>
        <v/>
      </c>
    </row>
    <row r="95">
      <c r="A95" t="inlineStr">
        <is>
          <t xml:space="preserve">home </t>
        </is>
      </c>
      <c r="B95">
        <f>VLOOKUP(256,Requirements!A2:B2967,2,FALSE)</f>
        <v/>
      </c>
    </row>
    <row r="96">
      <c r="A96" t="inlineStr">
        <is>
          <t xml:space="preserve">home </t>
        </is>
      </c>
      <c r="B96">
        <f>VLOOKUP(258,Requirements!A2:B2967,2,FALSE)</f>
        <v/>
      </c>
    </row>
    <row r="97">
      <c r="A97" t="inlineStr">
        <is>
          <t xml:space="preserve">home </t>
        </is>
      </c>
      <c r="B97">
        <f>VLOOKUP(259,Requirements!A2:B2967,2,FALSE)</f>
        <v/>
      </c>
    </row>
    <row r="98">
      <c r="A98" t="inlineStr">
        <is>
          <t xml:space="preserve">home </t>
        </is>
      </c>
      <c r="B98">
        <f>VLOOKUP(260,Requirements!A2:B2967,2,FALSE)</f>
        <v/>
      </c>
    </row>
    <row r="99">
      <c r="A99" t="inlineStr">
        <is>
          <t xml:space="preserve">home </t>
        </is>
      </c>
      <c r="B99">
        <f>VLOOKUP(261,Requirements!A2:B2967,2,FALSE)</f>
        <v/>
      </c>
    </row>
    <row r="100">
      <c r="A100" t="inlineStr">
        <is>
          <t xml:space="preserve">home </t>
        </is>
      </c>
      <c r="B100">
        <f>VLOOKUP(262,Requirements!A2:B2967,2,FALSE)</f>
        <v/>
      </c>
    </row>
    <row r="101">
      <c r="A101" t="inlineStr">
        <is>
          <t xml:space="preserve">home </t>
        </is>
      </c>
      <c r="B101">
        <f>VLOOKUP(263,Requirements!A2:B2967,2,FALSE)</f>
        <v/>
      </c>
    </row>
    <row r="102">
      <c r="A102" t="inlineStr">
        <is>
          <t xml:space="preserve">home </t>
        </is>
      </c>
      <c r="B102">
        <f>VLOOKUP(265,Requirements!A2:B2967,2,FALSE)</f>
        <v/>
      </c>
    </row>
    <row r="103">
      <c r="A103" t="inlineStr">
        <is>
          <t xml:space="preserve">home </t>
        </is>
      </c>
      <c r="B103">
        <f>VLOOKUP(266,Requirements!A2:B2967,2,FALSE)</f>
        <v/>
      </c>
    </row>
    <row r="104">
      <c r="A104" t="inlineStr">
        <is>
          <t xml:space="preserve">home </t>
        </is>
      </c>
      <c r="B104">
        <f>VLOOKUP(267,Requirements!A2:B2967,2,FALSE)</f>
        <v/>
      </c>
    </row>
    <row r="105">
      <c r="A105" t="inlineStr">
        <is>
          <t xml:space="preserve">home </t>
        </is>
      </c>
      <c r="B105">
        <f>VLOOKUP(268,Requirements!A2:B2967,2,FALSE)</f>
        <v/>
      </c>
    </row>
    <row r="106">
      <c r="A106" t="inlineStr">
        <is>
          <t xml:space="preserve">home </t>
        </is>
      </c>
      <c r="B106">
        <f>VLOOKUP(269,Requirements!A2:B2967,2,FALSE)</f>
        <v/>
      </c>
    </row>
    <row r="107">
      <c r="A107" t="inlineStr">
        <is>
          <t xml:space="preserve">home </t>
        </is>
      </c>
      <c r="B107">
        <f>VLOOKUP(274,Requirements!A2:B2967,2,FALSE)</f>
        <v/>
      </c>
    </row>
    <row r="108">
      <c r="A108" t="inlineStr">
        <is>
          <t xml:space="preserve">home </t>
        </is>
      </c>
      <c r="B108">
        <f>VLOOKUP(277,Requirements!A2:B2967,2,FALSE)</f>
        <v/>
      </c>
    </row>
    <row r="109">
      <c r="A109" t="inlineStr">
        <is>
          <t xml:space="preserve">home </t>
        </is>
      </c>
      <c r="B109">
        <f>VLOOKUP(279,Requirements!A2:B2967,2,FALSE)</f>
        <v/>
      </c>
    </row>
    <row r="110">
      <c r="A110" t="inlineStr">
        <is>
          <t xml:space="preserve">home </t>
        </is>
      </c>
      <c r="B110">
        <f>VLOOKUP(281,Requirements!A2:B2967,2,FALSE)</f>
        <v/>
      </c>
    </row>
    <row r="111">
      <c r="A111" t="inlineStr">
        <is>
          <t xml:space="preserve">home </t>
        </is>
      </c>
      <c r="B111">
        <f>VLOOKUP(283,Requirements!A2:B2967,2,FALSE)</f>
        <v/>
      </c>
    </row>
    <row r="112">
      <c r="A112" t="inlineStr">
        <is>
          <t xml:space="preserve">home </t>
        </is>
      </c>
      <c r="B112">
        <f>VLOOKUP(284,Requirements!A2:B2967,2,FALSE)</f>
        <v/>
      </c>
    </row>
    <row r="113">
      <c r="A113" t="inlineStr">
        <is>
          <t xml:space="preserve">home </t>
        </is>
      </c>
      <c r="B113">
        <f>VLOOKUP(289,Requirements!A2:B2967,2,FALSE)</f>
        <v/>
      </c>
    </row>
    <row r="114">
      <c r="A114" t="inlineStr">
        <is>
          <t xml:space="preserve">home </t>
        </is>
      </c>
      <c r="B114">
        <f>VLOOKUP(291,Requirements!A2:B2967,2,FALSE)</f>
        <v/>
      </c>
    </row>
    <row r="115">
      <c r="A115" t="inlineStr">
        <is>
          <t xml:space="preserve">home </t>
        </is>
      </c>
      <c r="B115">
        <f>VLOOKUP(302,Requirements!A2:B2967,2,FALSE)</f>
        <v/>
      </c>
    </row>
    <row r="116">
      <c r="A116" t="inlineStr">
        <is>
          <t xml:space="preserve">home </t>
        </is>
      </c>
      <c r="B116">
        <f>VLOOKUP(306,Requirements!A2:B2967,2,FALSE)</f>
        <v/>
      </c>
    </row>
    <row r="117">
      <c r="A117" t="inlineStr">
        <is>
          <t xml:space="preserve">home </t>
        </is>
      </c>
      <c r="B117">
        <f>VLOOKUP(320,Requirements!A2:B2967,2,FALSE)</f>
        <v/>
      </c>
    </row>
    <row r="118">
      <c r="A118" t="inlineStr">
        <is>
          <t xml:space="preserve">home </t>
        </is>
      </c>
      <c r="B118">
        <f>VLOOKUP(321,Requirements!A2:B2967,2,FALSE)</f>
        <v/>
      </c>
    </row>
    <row r="119">
      <c r="A119" t="inlineStr">
        <is>
          <t xml:space="preserve">home </t>
        </is>
      </c>
      <c r="B119">
        <f>VLOOKUP(324,Requirements!A2:B2967,2,FALSE)</f>
        <v/>
      </c>
    </row>
    <row r="120">
      <c r="A120" t="inlineStr">
        <is>
          <t xml:space="preserve">home </t>
        </is>
      </c>
      <c r="B120">
        <f>VLOOKUP(325,Requirements!A2:B2967,2,FALSE)</f>
        <v/>
      </c>
    </row>
    <row r="121">
      <c r="A121" t="inlineStr">
        <is>
          <t xml:space="preserve">home </t>
        </is>
      </c>
      <c r="B121">
        <f>VLOOKUP(327,Requirements!A2:B2967,2,FALSE)</f>
        <v/>
      </c>
    </row>
    <row r="122">
      <c r="A122" t="inlineStr">
        <is>
          <t xml:space="preserve">home </t>
        </is>
      </c>
      <c r="B122">
        <f>VLOOKUP(330,Requirements!A2:B2967,2,FALSE)</f>
        <v/>
      </c>
    </row>
    <row r="123">
      <c r="A123" t="inlineStr">
        <is>
          <t xml:space="preserve">home </t>
        </is>
      </c>
      <c r="B123">
        <f>VLOOKUP(331,Requirements!A2:B2967,2,FALSE)</f>
        <v/>
      </c>
    </row>
    <row r="124">
      <c r="A124" t="inlineStr">
        <is>
          <t xml:space="preserve">home </t>
        </is>
      </c>
      <c r="B124">
        <f>VLOOKUP(336,Requirements!A2:B2967,2,FALSE)</f>
        <v/>
      </c>
    </row>
    <row r="125">
      <c r="A125" t="inlineStr">
        <is>
          <t xml:space="preserve">home </t>
        </is>
      </c>
      <c r="B125">
        <f>VLOOKUP(337,Requirements!A2:B2967,2,FALSE)</f>
        <v/>
      </c>
    </row>
    <row r="126">
      <c r="A126" t="inlineStr">
        <is>
          <t xml:space="preserve">home </t>
        </is>
      </c>
      <c r="B126">
        <f>VLOOKUP(340,Requirements!A2:B2967,2,FALSE)</f>
        <v/>
      </c>
    </row>
    <row r="127">
      <c r="A127" t="inlineStr">
        <is>
          <t xml:space="preserve">home </t>
        </is>
      </c>
      <c r="B127">
        <f>VLOOKUP(343,Requirements!A2:B2967,2,FALSE)</f>
        <v/>
      </c>
    </row>
    <row r="128">
      <c r="A128" t="inlineStr">
        <is>
          <t xml:space="preserve">home </t>
        </is>
      </c>
      <c r="B128">
        <f>VLOOKUP(347,Requirements!A2:B2967,2,FALSE)</f>
        <v/>
      </c>
    </row>
    <row r="129">
      <c r="A129" t="inlineStr">
        <is>
          <t xml:space="preserve">home </t>
        </is>
      </c>
      <c r="B129">
        <f>VLOOKUP(358,Requirements!A2:B2967,2,FALSE)</f>
        <v/>
      </c>
    </row>
    <row r="130">
      <c r="A130" t="inlineStr">
        <is>
          <t xml:space="preserve">home </t>
        </is>
      </c>
      <c r="B130">
        <f>VLOOKUP(360,Requirements!A2:B2967,2,FALSE)</f>
        <v/>
      </c>
    </row>
    <row r="131">
      <c r="A131" t="inlineStr">
        <is>
          <t xml:space="preserve">home </t>
        </is>
      </c>
      <c r="B131">
        <f>VLOOKUP(361,Requirements!A2:B2967,2,FALSE)</f>
        <v/>
      </c>
    </row>
    <row r="132">
      <c r="A132" t="inlineStr">
        <is>
          <t xml:space="preserve">home </t>
        </is>
      </c>
      <c r="B132">
        <f>VLOOKUP(363,Requirements!A2:B2967,2,FALSE)</f>
        <v/>
      </c>
    </row>
    <row r="133">
      <c r="A133" t="inlineStr">
        <is>
          <t xml:space="preserve">home </t>
        </is>
      </c>
      <c r="B133">
        <f>VLOOKUP(366,Requirements!A2:B2967,2,FALSE)</f>
        <v/>
      </c>
    </row>
    <row r="134">
      <c r="A134" t="inlineStr">
        <is>
          <t xml:space="preserve">home </t>
        </is>
      </c>
      <c r="B134">
        <f>VLOOKUP(368,Requirements!A2:B2967,2,FALSE)</f>
        <v/>
      </c>
    </row>
    <row r="135">
      <c r="A135" t="inlineStr">
        <is>
          <t xml:space="preserve">home </t>
        </is>
      </c>
      <c r="B135">
        <f>VLOOKUP(370,Requirements!A2:B2967,2,FALSE)</f>
        <v/>
      </c>
    </row>
    <row r="136">
      <c r="A136" t="inlineStr">
        <is>
          <t xml:space="preserve">home </t>
        </is>
      </c>
      <c r="B136">
        <f>VLOOKUP(371,Requirements!A2:B2967,2,FALSE)</f>
        <v/>
      </c>
    </row>
    <row r="137">
      <c r="A137" t="inlineStr">
        <is>
          <t xml:space="preserve">home </t>
        </is>
      </c>
      <c r="B137">
        <f>VLOOKUP(374,Requirements!A2:B2967,2,FALSE)</f>
        <v/>
      </c>
    </row>
    <row r="138">
      <c r="A138" t="inlineStr">
        <is>
          <t xml:space="preserve">home </t>
        </is>
      </c>
      <c r="B138">
        <f>VLOOKUP(379,Requirements!A2:B2967,2,FALSE)</f>
        <v/>
      </c>
    </row>
    <row r="139">
      <c r="A139" t="inlineStr">
        <is>
          <t xml:space="preserve">home </t>
        </is>
      </c>
      <c r="B139">
        <f>VLOOKUP(382,Requirements!A2:B2967,2,FALSE)</f>
        <v/>
      </c>
    </row>
    <row r="140">
      <c r="A140" t="inlineStr">
        <is>
          <t xml:space="preserve">home </t>
        </is>
      </c>
      <c r="B140">
        <f>VLOOKUP(388,Requirements!A2:B2967,2,FALSE)</f>
        <v/>
      </c>
    </row>
    <row r="141">
      <c r="A141" t="inlineStr">
        <is>
          <t xml:space="preserve">home </t>
        </is>
      </c>
      <c r="B141">
        <f>VLOOKUP(394,Requirements!A2:B2967,2,FALSE)</f>
        <v/>
      </c>
    </row>
    <row r="142">
      <c r="A142" t="inlineStr">
        <is>
          <t xml:space="preserve">home </t>
        </is>
      </c>
      <c r="B142">
        <f>VLOOKUP(398,Requirements!A2:B2967,2,FALSE)</f>
        <v/>
      </c>
    </row>
    <row r="143">
      <c r="A143" t="inlineStr">
        <is>
          <t xml:space="preserve">home </t>
        </is>
      </c>
      <c r="B143">
        <f>VLOOKUP(409,Requirements!A2:B2967,2,FALSE)</f>
        <v/>
      </c>
    </row>
    <row r="144">
      <c r="A144" t="inlineStr">
        <is>
          <t xml:space="preserve">home </t>
        </is>
      </c>
      <c r="B144">
        <f>VLOOKUP(413,Requirements!A2:B2967,2,FALSE)</f>
        <v/>
      </c>
    </row>
    <row r="145">
      <c r="A145" t="inlineStr">
        <is>
          <t xml:space="preserve">home </t>
        </is>
      </c>
      <c r="B145">
        <f>VLOOKUP(415,Requirements!A2:B2967,2,FALSE)</f>
        <v/>
      </c>
    </row>
    <row r="146">
      <c r="A146" t="inlineStr">
        <is>
          <t xml:space="preserve">home </t>
        </is>
      </c>
      <c r="B146">
        <f>VLOOKUP(416,Requirements!A2:B2967,2,FALSE)</f>
        <v/>
      </c>
    </row>
    <row r="147">
      <c r="A147" t="inlineStr">
        <is>
          <t xml:space="preserve">home </t>
        </is>
      </c>
      <c r="B147">
        <f>VLOOKUP(422,Requirements!A2:B2967,2,FALSE)</f>
        <v/>
      </c>
    </row>
    <row r="148">
      <c r="A148" t="inlineStr">
        <is>
          <t xml:space="preserve">home </t>
        </is>
      </c>
      <c r="B148">
        <f>VLOOKUP(424,Requirements!A2:B2967,2,FALSE)</f>
        <v/>
      </c>
    </row>
    <row r="149">
      <c r="A149" t="inlineStr">
        <is>
          <t xml:space="preserve">home </t>
        </is>
      </c>
      <c r="B149">
        <f>VLOOKUP(426,Requirements!A2:B2967,2,FALSE)</f>
        <v/>
      </c>
    </row>
    <row r="150">
      <c r="A150" t="inlineStr">
        <is>
          <t xml:space="preserve">home </t>
        </is>
      </c>
      <c r="B150">
        <f>VLOOKUP(428,Requirements!A2:B2967,2,FALSE)</f>
        <v/>
      </c>
    </row>
    <row r="151">
      <c r="A151" t="inlineStr">
        <is>
          <t xml:space="preserve">home </t>
        </is>
      </c>
      <c r="B151">
        <f>VLOOKUP(433,Requirements!A2:B2967,2,FALSE)</f>
        <v/>
      </c>
    </row>
    <row r="152">
      <c r="A152" t="inlineStr">
        <is>
          <t xml:space="preserve">home </t>
        </is>
      </c>
      <c r="B152">
        <f>VLOOKUP(435,Requirements!A2:B2967,2,FALSE)</f>
        <v/>
      </c>
    </row>
    <row r="153">
      <c r="A153" t="inlineStr">
        <is>
          <t xml:space="preserve">home </t>
        </is>
      </c>
      <c r="B153">
        <f>VLOOKUP(436,Requirements!A2:B2967,2,FALSE)</f>
        <v/>
      </c>
    </row>
    <row r="154">
      <c r="A154" t="inlineStr">
        <is>
          <t xml:space="preserve">home </t>
        </is>
      </c>
      <c r="B154">
        <f>VLOOKUP(438,Requirements!A2:B2967,2,FALSE)</f>
        <v/>
      </c>
    </row>
    <row r="155">
      <c r="A155" t="inlineStr">
        <is>
          <t xml:space="preserve">home </t>
        </is>
      </c>
      <c r="B155">
        <f>VLOOKUP(439,Requirements!A2:B2967,2,FALSE)</f>
        <v/>
      </c>
    </row>
    <row r="156">
      <c r="A156" t="inlineStr">
        <is>
          <t xml:space="preserve">home </t>
        </is>
      </c>
      <c r="B156">
        <f>VLOOKUP(440,Requirements!A2:B2967,2,FALSE)</f>
        <v/>
      </c>
    </row>
    <row r="157">
      <c r="A157" t="inlineStr">
        <is>
          <t xml:space="preserve">home </t>
        </is>
      </c>
      <c r="B157">
        <f>VLOOKUP(441,Requirements!A2:B2967,2,FALSE)</f>
        <v/>
      </c>
    </row>
    <row r="158">
      <c r="A158" t="inlineStr">
        <is>
          <t xml:space="preserve">home </t>
        </is>
      </c>
      <c r="B158">
        <f>VLOOKUP(442,Requirements!A2:B2967,2,FALSE)</f>
        <v/>
      </c>
    </row>
    <row r="159">
      <c r="A159" t="inlineStr">
        <is>
          <t xml:space="preserve">home </t>
        </is>
      </c>
      <c r="B159">
        <f>VLOOKUP(444,Requirements!A2:B2967,2,FALSE)</f>
        <v/>
      </c>
    </row>
    <row r="160">
      <c r="A160" t="inlineStr">
        <is>
          <t xml:space="preserve">home </t>
        </is>
      </c>
      <c r="B160">
        <f>VLOOKUP(445,Requirements!A2:B2967,2,FALSE)</f>
        <v/>
      </c>
    </row>
    <row r="161">
      <c r="A161" t="inlineStr">
        <is>
          <t xml:space="preserve">home </t>
        </is>
      </c>
      <c r="B161">
        <f>VLOOKUP(446,Requirements!A2:B2967,2,FALSE)</f>
        <v/>
      </c>
    </row>
    <row r="162">
      <c r="A162" t="inlineStr">
        <is>
          <t xml:space="preserve">home </t>
        </is>
      </c>
      <c r="B162">
        <f>VLOOKUP(447,Requirements!A2:B2967,2,FALSE)</f>
        <v/>
      </c>
    </row>
    <row r="163">
      <c r="A163" t="inlineStr">
        <is>
          <t xml:space="preserve">home </t>
        </is>
      </c>
      <c r="B163">
        <f>VLOOKUP(448,Requirements!A2:B2967,2,FALSE)</f>
        <v/>
      </c>
    </row>
    <row r="164">
      <c r="A164" t="inlineStr">
        <is>
          <t xml:space="preserve">home </t>
        </is>
      </c>
      <c r="B164">
        <f>VLOOKUP(449,Requirements!A2:B2967,2,FALSE)</f>
        <v/>
      </c>
    </row>
    <row r="165">
      <c r="A165" t="inlineStr">
        <is>
          <t xml:space="preserve">home </t>
        </is>
      </c>
      <c r="B165">
        <f>VLOOKUP(450,Requirements!A2:B2967,2,FALSE)</f>
        <v/>
      </c>
    </row>
    <row r="166">
      <c r="A166" t="inlineStr">
        <is>
          <t xml:space="preserve">home </t>
        </is>
      </c>
      <c r="B166">
        <f>VLOOKUP(452,Requirements!A2:B2967,2,FALSE)</f>
        <v/>
      </c>
    </row>
    <row r="167">
      <c r="A167" t="inlineStr">
        <is>
          <t xml:space="preserve">home </t>
        </is>
      </c>
      <c r="B167">
        <f>VLOOKUP(453,Requirements!A2:B2967,2,FALSE)</f>
        <v/>
      </c>
    </row>
    <row r="168">
      <c r="A168" t="inlineStr">
        <is>
          <t xml:space="preserve">home </t>
        </is>
      </c>
      <c r="B168">
        <f>VLOOKUP(456,Requirements!A2:B2967,2,FALSE)</f>
        <v/>
      </c>
    </row>
    <row r="169">
      <c r="A169" t="inlineStr">
        <is>
          <t xml:space="preserve">home </t>
        </is>
      </c>
      <c r="B169">
        <f>VLOOKUP(457,Requirements!A2:B2967,2,FALSE)</f>
        <v/>
      </c>
    </row>
    <row r="170">
      <c r="A170" t="inlineStr">
        <is>
          <t xml:space="preserve">home </t>
        </is>
      </c>
      <c r="B170">
        <f>VLOOKUP(487,Requirements!A2:B2967,2,FALSE)</f>
        <v/>
      </c>
    </row>
    <row r="171">
      <c r="A171" t="inlineStr">
        <is>
          <t xml:space="preserve">home </t>
        </is>
      </c>
      <c r="B171">
        <f>VLOOKUP(490,Requirements!A2:B2967,2,FALSE)</f>
        <v/>
      </c>
    </row>
    <row r="172">
      <c r="A172" t="inlineStr">
        <is>
          <t xml:space="preserve">home </t>
        </is>
      </c>
      <c r="B172">
        <f>VLOOKUP(492,Requirements!A2:B2967,2,FALSE)</f>
        <v/>
      </c>
    </row>
    <row r="173">
      <c r="A173" t="inlineStr">
        <is>
          <t xml:space="preserve">home </t>
        </is>
      </c>
      <c r="B173">
        <f>VLOOKUP(501,Requirements!A2:B2967,2,FALSE)</f>
        <v/>
      </c>
    </row>
    <row r="174">
      <c r="A174" t="inlineStr">
        <is>
          <t xml:space="preserve">home </t>
        </is>
      </c>
      <c r="B174">
        <f>VLOOKUP(504,Requirements!A2:B2967,2,FALSE)</f>
        <v/>
      </c>
    </row>
    <row r="175">
      <c r="A175" t="inlineStr">
        <is>
          <t xml:space="preserve">home </t>
        </is>
      </c>
      <c r="B175">
        <f>VLOOKUP(507,Requirements!A2:B2967,2,FALSE)</f>
        <v/>
      </c>
    </row>
    <row r="176">
      <c r="A176" t="inlineStr">
        <is>
          <t xml:space="preserve">home </t>
        </is>
      </c>
      <c r="B176">
        <f>VLOOKUP(531,Requirements!A2:B2967,2,FALSE)</f>
        <v/>
      </c>
    </row>
    <row r="177">
      <c r="A177" t="inlineStr">
        <is>
          <t xml:space="preserve">home </t>
        </is>
      </c>
      <c r="B177">
        <f>VLOOKUP(536,Requirements!A2:B2967,2,FALSE)</f>
        <v/>
      </c>
    </row>
    <row r="178">
      <c r="A178" t="inlineStr">
        <is>
          <t xml:space="preserve">home </t>
        </is>
      </c>
      <c r="B178">
        <f>VLOOKUP(538,Requirements!A2:B2967,2,FALSE)</f>
        <v/>
      </c>
    </row>
    <row r="179">
      <c r="A179" t="inlineStr">
        <is>
          <t xml:space="preserve">home </t>
        </is>
      </c>
      <c r="B179">
        <f>VLOOKUP(540,Requirements!A2:B2967,2,FALSE)</f>
        <v/>
      </c>
    </row>
    <row r="180">
      <c r="A180" t="inlineStr">
        <is>
          <t xml:space="preserve">home </t>
        </is>
      </c>
      <c r="B180">
        <f>VLOOKUP(541,Requirements!A2:B2967,2,FALSE)</f>
        <v/>
      </c>
    </row>
    <row r="181">
      <c r="A181" t="inlineStr">
        <is>
          <t xml:space="preserve">home </t>
        </is>
      </c>
      <c r="B181">
        <f>VLOOKUP(542,Requirements!A2:B2967,2,FALSE)</f>
        <v/>
      </c>
    </row>
    <row r="182">
      <c r="A182" t="inlineStr">
        <is>
          <t xml:space="preserve">home </t>
        </is>
      </c>
      <c r="B182">
        <f>VLOOKUP(544,Requirements!A2:B2967,2,FALSE)</f>
        <v/>
      </c>
    </row>
    <row r="183">
      <c r="A183" t="inlineStr">
        <is>
          <t xml:space="preserve">home </t>
        </is>
      </c>
      <c r="B183">
        <f>VLOOKUP(546,Requirements!A2:B2967,2,FALSE)</f>
        <v/>
      </c>
    </row>
    <row r="184">
      <c r="A184" t="inlineStr">
        <is>
          <t xml:space="preserve">home </t>
        </is>
      </c>
      <c r="B184">
        <f>VLOOKUP(547,Requirements!A2:B2967,2,FALSE)</f>
        <v/>
      </c>
    </row>
    <row r="185">
      <c r="A185" t="inlineStr">
        <is>
          <t xml:space="preserve">home </t>
        </is>
      </c>
      <c r="B185">
        <f>VLOOKUP(548,Requirements!A2:B2967,2,FALSE)</f>
        <v/>
      </c>
    </row>
    <row r="186">
      <c r="A186" t="inlineStr">
        <is>
          <t xml:space="preserve">home </t>
        </is>
      </c>
      <c r="B186">
        <f>VLOOKUP(549,Requirements!A2:B2967,2,FALSE)</f>
        <v/>
      </c>
    </row>
    <row r="187">
      <c r="A187" t="inlineStr">
        <is>
          <t xml:space="preserve">home </t>
        </is>
      </c>
      <c r="B187">
        <f>VLOOKUP(550,Requirements!A2:B2967,2,FALSE)</f>
        <v/>
      </c>
    </row>
    <row r="188">
      <c r="A188" t="inlineStr">
        <is>
          <t xml:space="preserve">home </t>
        </is>
      </c>
      <c r="B188">
        <f>VLOOKUP(551,Requirements!A2:B2967,2,FALSE)</f>
        <v/>
      </c>
    </row>
    <row r="189">
      <c r="A189" t="inlineStr">
        <is>
          <t xml:space="preserve">home </t>
        </is>
      </c>
      <c r="B189">
        <f>VLOOKUP(552,Requirements!A2:B2967,2,FALSE)</f>
        <v/>
      </c>
    </row>
    <row r="190">
      <c r="A190" t="inlineStr">
        <is>
          <t xml:space="preserve">home </t>
        </is>
      </c>
      <c r="B190">
        <f>VLOOKUP(553,Requirements!A2:B2967,2,FALSE)</f>
        <v/>
      </c>
    </row>
    <row r="191">
      <c r="A191" t="inlineStr">
        <is>
          <t xml:space="preserve">home </t>
        </is>
      </c>
      <c r="B191">
        <f>VLOOKUP(555,Requirements!A2:B2967,2,FALSE)</f>
        <v/>
      </c>
    </row>
    <row r="192">
      <c r="A192" t="inlineStr">
        <is>
          <t xml:space="preserve">home </t>
        </is>
      </c>
      <c r="B192">
        <f>VLOOKUP(556,Requirements!A2:B2967,2,FALSE)</f>
        <v/>
      </c>
    </row>
    <row r="193">
      <c r="A193" t="inlineStr">
        <is>
          <t xml:space="preserve">home </t>
        </is>
      </c>
      <c r="B193">
        <f>VLOOKUP(557,Requirements!A2:B2967,2,FALSE)</f>
        <v/>
      </c>
    </row>
    <row r="194">
      <c r="A194" t="inlineStr">
        <is>
          <t xml:space="preserve">home </t>
        </is>
      </c>
      <c r="B194">
        <f>VLOOKUP(558,Requirements!A2:B2967,2,FALSE)</f>
        <v/>
      </c>
    </row>
    <row r="195">
      <c r="A195" t="inlineStr">
        <is>
          <t xml:space="preserve">home </t>
        </is>
      </c>
      <c r="B195">
        <f>VLOOKUP(559,Requirements!A2:B2967,2,FALSE)</f>
        <v/>
      </c>
    </row>
    <row r="196">
      <c r="A196" t="inlineStr">
        <is>
          <t xml:space="preserve">home </t>
        </is>
      </c>
      <c r="B196">
        <f>VLOOKUP(560,Requirements!A2:B2967,2,FALSE)</f>
        <v/>
      </c>
    </row>
    <row r="197">
      <c r="A197" t="inlineStr">
        <is>
          <t xml:space="preserve">home </t>
        </is>
      </c>
      <c r="B197">
        <f>VLOOKUP(561,Requirements!A2:B2967,2,FALSE)</f>
        <v/>
      </c>
    </row>
    <row r="198">
      <c r="A198" t="inlineStr">
        <is>
          <t xml:space="preserve">home </t>
        </is>
      </c>
      <c r="B198">
        <f>VLOOKUP(562,Requirements!A2:B2967,2,FALSE)</f>
        <v/>
      </c>
    </row>
    <row r="199">
      <c r="A199" t="inlineStr">
        <is>
          <t xml:space="preserve">home </t>
        </is>
      </c>
      <c r="B199">
        <f>VLOOKUP(563,Requirements!A2:B2967,2,FALSE)</f>
        <v/>
      </c>
    </row>
    <row r="200">
      <c r="A200" t="inlineStr">
        <is>
          <t xml:space="preserve">home </t>
        </is>
      </c>
      <c r="B200">
        <f>VLOOKUP(564,Requirements!A2:B2967,2,FALSE)</f>
        <v/>
      </c>
    </row>
    <row r="201">
      <c r="A201" t="inlineStr">
        <is>
          <t xml:space="preserve">home </t>
        </is>
      </c>
      <c r="B201">
        <f>VLOOKUP(575,Requirements!A2:B2967,2,FALSE)</f>
        <v/>
      </c>
    </row>
    <row r="202">
      <c r="A202" t="inlineStr">
        <is>
          <t xml:space="preserve">home </t>
        </is>
      </c>
      <c r="B202">
        <f>VLOOKUP(576,Requirements!A2:B2967,2,FALSE)</f>
        <v/>
      </c>
    </row>
    <row r="203">
      <c r="A203" t="inlineStr">
        <is>
          <t xml:space="preserve">home </t>
        </is>
      </c>
      <c r="B203">
        <f>VLOOKUP(605,Requirements!A2:B2967,2,FALSE)</f>
        <v/>
      </c>
    </row>
    <row r="204">
      <c r="A204" t="inlineStr">
        <is>
          <t xml:space="preserve">home </t>
        </is>
      </c>
      <c r="B204">
        <f>VLOOKUP(607,Requirements!A2:B2967,2,FALSE)</f>
        <v/>
      </c>
    </row>
    <row r="205">
      <c r="A205" t="inlineStr">
        <is>
          <t xml:space="preserve">home </t>
        </is>
      </c>
      <c r="B205">
        <f>VLOOKUP(613,Requirements!A2:B2967,2,FALSE)</f>
        <v/>
      </c>
    </row>
    <row r="206">
      <c r="A206" t="inlineStr">
        <is>
          <t xml:space="preserve">home </t>
        </is>
      </c>
      <c r="B206">
        <f>VLOOKUP(617,Requirements!A2:B2967,2,FALSE)</f>
        <v/>
      </c>
    </row>
    <row r="207">
      <c r="A207" t="inlineStr">
        <is>
          <t xml:space="preserve">home </t>
        </is>
      </c>
      <c r="B207">
        <f>VLOOKUP(622,Requirements!A2:B2967,2,FALSE)</f>
        <v/>
      </c>
    </row>
    <row r="208">
      <c r="A208" t="inlineStr">
        <is>
          <t xml:space="preserve">home </t>
        </is>
      </c>
      <c r="B208">
        <f>VLOOKUP(625,Requirements!A2:B2967,2,FALSE)</f>
        <v/>
      </c>
    </row>
    <row r="209">
      <c r="A209" t="inlineStr">
        <is>
          <t xml:space="preserve">home </t>
        </is>
      </c>
      <c r="B209">
        <f>VLOOKUP(628,Requirements!A2:B2967,2,FALSE)</f>
        <v/>
      </c>
    </row>
    <row r="210">
      <c r="A210" t="inlineStr">
        <is>
          <t xml:space="preserve">home </t>
        </is>
      </c>
      <c r="B210">
        <f>VLOOKUP(632,Requirements!A2:B2967,2,FALSE)</f>
        <v/>
      </c>
    </row>
    <row r="211">
      <c r="A211" t="inlineStr">
        <is>
          <t xml:space="preserve">home </t>
        </is>
      </c>
      <c r="B211">
        <f>VLOOKUP(638,Requirements!A2:B2967,2,FALSE)</f>
        <v/>
      </c>
    </row>
    <row r="212">
      <c r="A212" t="inlineStr">
        <is>
          <t xml:space="preserve">home </t>
        </is>
      </c>
      <c r="B212">
        <f>VLOOKUP(640,Requirements!A2:B2967,2,FALSE)</f>
        <v/>
      </c>
    </row>
    <row r="213">
      <c r="A213" t="inlineStr">
        <is>
          <t xml:space="preserve">home </t>
        </is>
      </c>
      <c r="B213">
        <f>VLOOKUP(642,Requirements!A2:B2967,2,FALSE)</f>
        <v/>
      </c>
    </row>
    <row r="214">
      <c r="A214" t="inlineStr">
        <is>
          <t xml:space="preserve">home </t>
        </is>
      </c>
      <c r="B214">
        <f>VLOOKUP(647,Requirements!A2:B2967,2,FALSE)</f>
        <v/>
      </c>
    </row>
    <row r="215">
      <c r="A215" t="inlineStr">
        <is>
          <t xml:space="preserve">home </t>
        </is>
      </c>
      <c r="B215">
        <f>VLOOKUP(653,Requirements!A2:B2967,2,FALSE)</f>
        <v/>
      </c>
    </row>
    <row r="216">
      <c r="A216" t="inlineStr">
        <is>
          <t xml:space="preserve">home </t>
        </is>
      </c>
      <c r="B216">
        <f>VLOOKUP(654,Requirements!A2:B2967,2,FALSE)</f>
        <v/>
      </c>
    </row>
    <row r="217">
      <c r="A217" t="inlineStr">
        <is>
          <t xml:space="preserve">home </t>
        </is>
      </c>
      <c r="B217">
        <f>VLOOKUP(670,Requirements!A2:B2967,2,FALSE)</f>
        <v/>
      </c>
    </row>
    <row r="218">
      <c r="A218" t="inlineStr">
        <is>
          <t xml:space="preserve">home </t>
        </is>
      </c>
      <c r="B218">
        <f>VLOOKUP(671,Requirements!A2:B2967,2,FALSE)</f>
        <v/>
      </c>
    </row>
    <row r="219">
      <c r="A219" t="inlineStr">
        <is>
          <t xml:space="preserve">home </t>
        </is>
      </c>
      <c r="B219">
        <f>VLOOKUP(672,Requirements!A2:B2967,2,FALSE)</f>
        <v/>
      </c>
    </row>
    <row r="220">
      <c r="A220" t="inlineStr">
        <is>
          <t xml:space="preserve">home </t>
        </is>
      </c>
      <c r="B220">
        <f>VLOOKUP(676,Requirements!A2:B2967,2,FALSE)</f>
        <v/>
      </c>
    </row>
    <row r="221">
      <c r="A221" t="inlineStr">
        <is>
          <t xml:space="preserve">home </t>
        </is>
      </c>
      <c r="B221">
        <f>VLOOKUP(687,Requirements!A2:B2967,2,FALSE)</f>
        <v/>
      </c>
    </row>
    <row r="222">
      <c r="A222" t="inlineStr">
        <is>
          <t xml:space="preserve">home </t>
        </is>
      </c>
      <c r="B222">
        <f>VLOOKUP(689,Requirements!A2:B2967,2,FALSE)</f>
        <v/>
      </c>
    </row>
    <row r="223">
      <c r="A223" t="inlineStr">
        <is>
          <t xml:space="preserve">home </t>
        </is>
      </c>
      <c r="B223">
        <f>VLOOKUP(692,Requirements!A2:B2967,2,FALSE)</f>
        <v/>
      </c>
    </row>
    <row r="224">
      <c r="A224" t="inlineStr">
        <is>
          <t xml:space="preserve">home </t>
        </is>
      </c>
      <c r="B224">
        <f>VLOOKUP(696,Requirements!A2:B2967,2,FALSE)</f>
        <v/>
      </c>
    </row>
    <row r="225">
      <c r="A225" t="inlineStr">
        <is>
          <t xml:space="preserve">home </t>
        </is>
      </c>
      <c r="B225">
        <f>VLOOKUP(699,Requirements!A2:B2967,2,FALSE)</f>
        <v/>
      </c>
    </row>
    <row r="226">
      <c r="A226" t="inlineStr">
        <is>
          <t xml:space="preserve">home </t>
        </is>
      </c>
      <c r="B226">
        <f>VLOOKUP(704,Requirements!A2:B2967,2,FALSE)</f>
        <v/>
      </c>
    </row>
    <row r="227">
      <c r="A227" t="inlineStr">
        <is>
          <t xml:space="preserve">home </t>
        </is>
      </c>
      <c r="B227">
        <f>VLOOKUP(709,Requirements!A2:B2967,2,FALSE)</f>
        <v/>
      </c>
    </row>
    <row r="228">
      <c r="A228" t="inlineStr">
        <is>
          <t xml:space="preserve">home </t>
        </is>
      </c>
      <c r="B228">
        <f>VLOOKUP(717,Requirements!A2:B2967,2,FALSE)</f>
        <v/>
      </c>
    </row>
    <row r="229">
      <c r="A229" t="inlineStr">
        <is>
          <t xml:space="preserve">home </t>
        </is>
      </c>
      <c r="B229">
        <f>VLOOKUP(744,Requirements!A2:B2967,2,FALSE)</f>
        <v/>
      </c>
    </row>
    <row r="230">
      <c r="A230" t="inlineStr">
        <is>
          <t xml:space="preserve">home </t>
        </is>
      </c>
      <c r="B230">
        <f>VLOOKUP(746,Requirements!A2:B2967,2,FALSE)</f>
        <v/>
      </c>
    </row>
    <row r="231">
      <c r="A231" t="inlineStr">
        <is>
          <t xml:space="preserve">home </t>
        </is>
      </c>
      <c r="B231">
        <f>VLOOKUP(747,Requirements!A2:B2967,2,FALSE)</f>
        <v/>
      </c>
    </row>
    <row r="232">
      <c r="A232" t="inlineStr">
        <is>
          <t xml:space="preserve">home </t>
        </is>
      </c>
      <c r="B232">
        <f>VLOOKUP(748,Requirements!A2:B2967,2,FALSE)</f>
        <v/>
      </c>
    </row>
    <row r="233">
      <c r="A233" t="inlineStr">
        <is>
          <t xml:space="preserve">home </t>
        </is>
      </c>
      <c r="B233">
        <f>VLOOKUP(749,Requirements!A2:B2967,2,FALSE)</f>
        <v/>
      </c>
    </row>
    <row r="234">
      <c r="A234" t="inlineStr">
        <is>
          <t xml:space="preserve">home </t>
        </is>
      </c>
      <c r="B234">
        <f>VLOOKUP(750,Requirements!A2:B2967,2,FALSE)</f>
        <v/>
      </c>
    </row>
    <row r="235">
      <c r="A235" t="inlineStr">
        <is>
          <t xml:space="preserve">home </t>
        </is>
      </c>
      <c r="B235">
        <f>VLOOKUP(751,Requirements!A2:B2967,2,FALSE)</f>
        <v/>
      </c>
    </row>
    <row r="236">
      <c r="A236" t="inlineStr">
        <is>
          <t xml:space="preserve">home </t>
        </is>
      </c>
      <c r="B236">
        <f>VLOOKUP(752,Requirements!A2:B2967,2,FALSE)</f>
        <v/>
      </c>
    </row>
    <row r="237">
      <c r="A237" t="inlineStr">
        <is>
          <t xml:space="preserve">home </t>
        </is>
      </c>
      <c r="B237">
        <f>VLOOKUP(753,Requirements!A2:B2967,2,FALSE)</f>
        <v/>
      </c>
    </row>
    <row r="238">
      <c r="A238" t="inlineStr">
        <is>
          <t xml:space="preserve">home </t>
        </is>
      </c>
      <c r="B238">
        <f>VLOOKUP(755,Requirements!A2:B2967,2,FALSE)</f>
        <v/>
      </c>
    </row>
    <row r="239">
      <c r="A239" t="inlineStr">
        <is>
          <t xml:space="preserve">home </t>
        </is>
      </c>
      <c r="B239">
        <f>VLOOKUP(756,Requirements!A2:B2967,2,FALSE)</f>
        <v/>
      </c>
    </row>
    <row r="240">
      <c r="A240" t="inlineStr">
        <is>
          <t xml:space="preserve">home </t>
        </is>
      </c>
      <c r="B240">
        <f>VLOOKUP(757,Requirements!A2:B2967,2,FALSE)</f>
        <v/>
      </c>
    </row>
    <row r="241">
      <c r="A241" t="inlineStr">
        <is>
          <t xml:space="preserve">home </t>
        </is>
      </c>
      <c r="B241">
        <f>VLOOKUP(758,Requirements!A2:B2967,2,FALSE)</f>
        <v/>
      </c>
    </row>
    <row r="242">
      <c r="A242" t="inlineStr">
        <is>
          <t xml:space="preserve">home </t>
        </is>
      </c>
      <c r="B242">
        <f>VLOOKUP(759,Requirements!A2:B2967,2,FALSE)</f>
        <v/>
      </c>
    </row>
    <row r="243">
      <c r="A243" t="inlineStr">
        <is>
          <t xml:space="preserve">home </t>
        </is>
      </c>
      <c r="B243">
        <f>VLOOKUP(760,Requirements!A2:B2967,2,FALSE)</f>
        <v/>
      </c>
    </row>
    <row r="244">
      <c r="A244" t="inlineStr">
        <is>
          <t xml:space="preserve">home </t>
        </is>
      </c>
      <c r="B244">
        <f>VLOOKUP(762,Requirements!A2:B2967,2,FALSE)</f>
        <v/>
      </c>
    </row>
    <row r="245">
      <c r="A245" t="inlineStr">
        <is>
          <t xml:space="preserve">home </t>
        </is>
      </c>
      <c r="B245">
        <f>VLOOKUP(763,Requirements!A2:B2967,2,FALSE)</f>
        <v/>
      </c>
    </row>
    <row r="246">
      <c r="A246" t="inlineStr">
        <is>
          <t xml:space="preserve">home </t>
        </is>
      </c>
      <c r="B246">
        <f>VLOOKUP(764,Requirements!A2:B2967,2,FALSE)</f>
        <v/>
      </c>
    </row>
    <row r="247">
      <c r="A247" t="inlineStr">
        <is>
          <t xml:space="preserve">home </t>
        </is>
      </c>
      <c r="B247">
        <f>VLOOKUP(765,Requirements!A2:B2967,2,FALSE)</f>
        <v/>
      </c>
    </row>
    <row r="248">
      <c r="A248" t="inlineStr">
        <is>
          <t xml:space="preserve">home </t>
        </is>
      </c>
      <c r="B248">
        <f>VLOOKUP(772,Requirements!A2:B2967,2,FALSE)</f>
        <v/>
      </c>
    </row>
    <row r="249">
      <c r="A249" t="inlineStr">
        <is>
          <t xml:space="preserve">home </t>
        </is>
      </c>
      <c r="B249">
        <f>VLOOKUP(776,Requirements!A2:B2967,2,FALSE)</f>
        <v/>
      </c>
    </row>
    <row r="250">
      <c r="A250" t="inlineStr">
        <is>
          <t xml:space="preserve">home </t>
        </is>
      </c>
      <c r="B250">
        <f>VLOOKUP(784,Requirements!A2:B2967,2,FALSE)</f>
        <v/>
      </c>
    </row>
    <row r="251">
      <c r="A251" t="inlineStr">
        <is>
          <t xml:space="preserve">home </t>
        </is>
      </c>
      <c r="B251">
        <f>VLOOKUP(788,Requirements!A2:B2967,2,FALSE)</f>
        <v/>
      </c>
    </row>
    <row r="252">
      <c r="A252" t="inlineStr">
        <is>
          <t xml:space="preserve">home </t>
        </is>
      </c>
      <c r="B252">
        <f>VLOOKUP(789,Requirements!A2:B2967,2,FALSE)</f>
        <v/>
      </c>
    </row>
    <row r="253">
      <c r="A253" t="inlineStr">
        <is>
          <t xml:space="preserve">home </t>
        </is>
      </c>
      <c r="B253">
        <f>VLOOKUP(790,Requirements!A2:B2967,2,FALSE)</f>
        <v/>
      </c>
    </row>
    <row r="254">
      <c r="A254" t="inlineStr">
        <is>
          <t xml:space="preserve">home </t>
        </is>
      </c>
      <c r="B254">
        <f>VLOOKUP(795,Requirements!A2:B2967,2,FALSE)</f>
        <v/>
      </c>
    </row>
    <row r="255">
      <c r="A255" t="inlineStr">
        <is>
          <t xml:space="preserve">home </t>
        </is>
      </c>
      <c r="B255">
        <f>VLOOKUP(796,Requirements!A2:B2967,2,FALSE)</f>
        <v/>
      </c>
    </row>
    <row r="256">
      <c r="A256" t="inlineStr">
        <is>
          <t xml:space="preserve">home </t>
        </is>
      </c>
      <c r="B256">
        <f>VLOOKUP(798,Requirements!A2:B2967,2,FALSE)</f>
        <v/>
      </c>
    </row>
    <row r="257">
      <c r="A257" t="inlineStr">
        <is>
          <t xml:space="preserve">home </t>
        </is>
      </c>
      <c r="B257">
        <f>VLOOKUP(799,Requirements!A2:B2967,2,FALSE)</f>
        <v/>
      </c>
    </row>
    <row r="258">
      <c r="A258" t="inlineStr">
        <is>
          <t xml:space="preserve">home </t>
        </is>
      </c>
      <c r="B258">
        <f>VLOOKUP(800,Requirements!A2:B2967,2,FALSE)</f>
        <v/>
      </c>
    </row>
    <row r="259">
      <c r="A259" t="inlineStr">
        <is>
          <t xml:space="preserve">home </t>
        </is>
      </c>
      <c r="B259">
        <f>VLOOKUP(801,Requirements!A2:B2967,2,FALSE)</f>
        <v/>
      </c>
    </row>
    <row r="260">
      <c r="A260" t="inlineStr">
        <is>
          <t xml:space="preserve">home </t>
        </is>
      </c>
      <c r="B260">
        <f>VLOOKUP(802,Requirements!A2:B2967,2,FALSE)</f>
        <v/>
      </c>
    </row>
    <row r="261">
      <c r="A261" t="inlineStr">
        <is>
          <t xml:space="preserve">home </t>
        </is>
      </c>
      <c r="B261">
        <f>VLOOKUP(803,Requirements!A2:B2967,2,FALSE)</f>
        <v/>
      </c>
    </row>
    <row r="262">
      <c r="A262" t="inlineStr">
        <is>
          <t xml:space="preserve">home </t>
        </is>
      </c>
      <c r="B262">
        <f>VLOOKUP(804,Requirements!A2:B2967,2,FALSE)</f>
        <v/>
      </c>
    </row>
    <row r="263">
      <c r="A263" t="inlineStr">
        <is>
          <t xml:space="preserve">home </t>
        </is>
      </c>
      <c r="B263">
        <f>VLOOKUP(805,Requirements!A2:B2967,2,FALSE)</f>
        <v/>
      </c>
    </row>
    <row r="264">
      <c r="A264" t="inlineStr">
        <is>
          <t xml:space="preserve">home </t>
        </is>
      </c>
      <c r="B264">
        <f>VLOOKUP(814,Requirements!A2:B2967,2,FALSE)</f>
        <v/>
      </c>
    </row>
    <row r="265">
      <c r="A265" t="inlineStr">
        <is>
          <t xml:space="preserve">home </t>
        </is>
      </c>
      <c r="B265">
        <f>VLOOKUP(822,Requirements!A2:B2967,2,FALSE)</f>
        <v/>
      </c>
    </row>
    <row r="266">
      <c r="A266" t="inlineStr">
        <is>
          <t xml:space="preserve">home </t>
        </is>
      </c>
      <c r="B266">
        <f>VLOOKUP(853,Requirements!A2:B2967,2,FALSE)</f>
        <v/>
      </c>
    </row>
    <row r="267">
      <c r="A267" t="inlineStr">
        <is>
          <t xml:space="preserve">home </t>
        </is>
      </c>
      <c r="B267">
        <f>VLOOKUP(871,Requirements!A2:B2967,2,FALSE)</f>
        <v/>
      </c>
    </row>
    <row r="268">
      <c r="A268" t="inlineStr">
        <is>
          <t xml:space="preserve">home </t>
        </is>
      </c>
      <c r="B268">
        <f>VLOOKUP(880,Requirements!A2:B2967,2,FALSE)</f>
        <v/>
      </c>
    </row>
    <row r="269">
      <c r="A269" t="inlineStr">
        <is>
          <t xml:space="preserve">home </t>
        </is>
      </c>
      <c r="B269">
        <f>VLOOKUP(884,Requirements!A2:B2967,2,FALSE)</f>
        <v/>
      </c>
    </row>
    <row r="270">
      <c r="A270" t="inlineStr">
        <is>
          <t xml:space="preserve">home </t>
        </is>
      </c>
      <c r="B270">
        <f>VLOOKUP(888,Requirements!A2:B2967,2,FALSE)</f>
        <v/>
      </c>
    </row>
    <row r="271">
      <c r="A271" t="inlineStr">
        <is>
          <t xml:space="preserve">home </t>
        </is>
      </c>
      <c r="B271">
        <f>VLOOKUP(895,Requirements!A2:B2967,2,FALSE)</f>
        <v/>
      </c>
    </row>
    <row r="272">
      <c r="A272" t="inlineStr">
        <is>
          <t xml:space="preserve">home </t>
        </is>
      </c>
      <c r="B272">
        <f>VLOOKUP(906,Requirements!A2:B2967,2,FALSE)</f>
        <v/>
      </c>
    </row>
    <row r="273">
      <c r="A273" t="inlineStr">
        <is>
          <t xml:space="preserve">home </t>
        </is>
      </c>
      <c r="B273">
        <f>VLOOKUP(907,Requirements!A2:B2967,2,FALSE)</f>
        <v/>
      </c>
    </row>
    <row r="274">
      <c r="A274" t="inlineStr">
        <is>
          <t xml:space="preserve">home </t>
        </is>
      </c>
      <c r="B274">
        <f>VLOOKUP(910,Requirements!A2:B2967,2,FALSE)</f>
        <v/>
      </c>
    </row>
    <row r="275">
      <c r="A275" t="inlineStr">
        <is>
          <t xml:space="preserve">home </t>
        </is>
      </c>
      <c r="B275">
        <f>VLOOKUP(911,Requirements!A2:B2967,2,FALSE)</f>
        <v/>
      </c>
    </row>
    <row r="276">
      <c r="A276" t="inlineStr">
        <is>
          <t xml:space="preserve">home </t>
        </is>
      </c>
      <c r="B276">
        <f>VLOOKUP(912,Requirements!A2:B2967,2,FALSE)</f>
        <v/>
      </c>
    </row>
    <row r="277">
      <c r="A277" t="inlineStr">
        <is>
          <t xml:space="preserve">home </t>
        </is>
      </c>
      <c r="B277">
        <f>VLOOKUP(913,Requirements!A2:B2967,2,FALSE)</f>
        <v/>
      </c>
    </row>
    <row r="278">
      <c r="A278" t="inlineStr">
        <is>
          <t xml:space="preserve">home </t>
        </is>
      </c>
      <c r="B278">
        <f>VLOOKUP(914,Requirements!A2:B2967,2,FALSE)</f>
        <v/>
      </c>
    </row>
    <row r="279">
      <c r="A279" t="inlineStr">
        <is>
          <t xml:space="preserve">home </t>
        </is>
      </c>
      <c r="B279">
        <f>VLOOKUP(915,Requirements!A2:B2967,2,FALSE)</f>
        <v/>
      </c>
    </row>
    <row r="280">
      <c r="A280" t="inlineStr">
        <is>
          <t xml:space="preserve">home </t>
        </is>
      </c>
      <c r="B280">
        <f>VLOOKUP(917,Requirements!A2:B2967,2,FALSE)</f>
        <v/>
      </c>
    </row>
    <row r="281">
      <c r="A281" t="inlineStr">
        <is>
          <t xml:space="preserve">home </t>
        </is>
      </c>
      <c r="B281">
        <f>VLOOKUP(918,Requirements!A2:B2967,2,FALSE)</f>
        <v/>
      </c>
    </row>
    <row r="282">
      <c r="A282" t="inlineStr">
        <is>
          <t xml:space="preserve">home </t>
        </is>
      </c>
      <c r="B282">
        <f>VLOOKUP(921,Requirements!A2:B2967,2,FALSE)</f>
        <v/>
      </c>
    </row>
    <row r="283">
      <c r="A283" t="inlineStr">
        <is>
          <t xml:space="preserve">home </t>
        </is>
      </c>
      <c r="B283">
        <f>VLOOKUP(923,Requirements!A2:B2967,2,FALSE)</f>
        <v/>
      </c>
    </row>
    <row r="284">
      <c r="A284" t="inlineStr">
        <is>
          <t xml:space="preserve">home </t>
        </is>
      </c>
      <c r="B284">
        <f>VLOOKUP(925,Requirements!A2:B2967,2,FALSE)</f>
        <v/>
      </c>
    </row>
    <row r="285">
      <c r="A285" t="inlineStr">
        <is>
          <t xml:space="preserve">home </t>
        </is>
      </c>
      <c r="B285">
        <f>VLOOKUP(928,Requirements!A2:B2967,2,FALSE)</f>
        <v/>
      </c>
    </row>
    <row r="286">
      <c r="A286" t="inlineStr">
        <is>
          <t xml:space="preserve">home </t>
        </is>
      </c>
      <c r="B286">
        <f>VLOOKUP(930,Requirements!A2:B2967,2,FALSE)</f>
        <v/>
      </c>
    </row>
    <row r="287">
      <c r="A287" t="inlineStr">
        <is>
          <t xml:space="preserve">home </t>
        </is>
      </c>
      <c r="B287">
        <f>VLOOKUP(932,Requirements!A2:B2967,2,FALSE)</f>
        <v/>
      </c>
    </row>
    <row r="288">
      <c r="A288" t="inlineStr">
        <is>
          <t xml:space="preserve">home </t>
        </is>
      </c>
      <c r="B288">
        <f>VLOOKUP(934,Requirements!A2:B2967,2,FALSE)</f>
        <v/>
      </c>
    </row>
    <row r="289">
      <c r="A289" t="inlineStr">
        <is>
          <t xml:space="preserve">home </t>
        </is>
      </c>
      <c r="B289">
        <f>VLOOKUP(935,Requirements!A2:B2967,2,FALSE)</f>
        <v/>
      </c>
    </row>
    <row r="290">
      <c r="A290" t="inlineStr">
        <is>
          <t xml:space="preserve">home </t>
        </is>
      </c>
      <c r="B290">
        <f>VLOOKUP(937,Requirements!A2:B2967,2,FALSE)</f>
        <v/>
      </c>
    </row>
    <row r="291">
      <c r="A291" t="inlineStr">
        <is>
          <t xml:space="preserve">home </t>
        </is>
      </c>
      <c r="B291">
        <f>VLOOKUP(943,Requirements!A2:B2967,2,FALSE)</f>
        <v/>
      </c>
    </row>
    <row r="292">
      <c r="A292" t="inlineStr">
        <is>
          <t xml:space="preserve">home </t>
        </is>
      </c>
      <c r="B292">
        <f>VLOOKUP(956,Requirements!A2:B2967,2,FALSE)</f>
        <v/>
      </c>
    </row>
    <row r="293">
      <c r="A293" t="inlineStr">
        <is>
          <t xml:space="preserve">home </t>
        </is>
      </c>
      <c r="B293">
        <f>VLOOKUP(957,Requirements!A2:B2967,2,FALSE)</f>
        <v/>
      </c>
    </row>
    <row r="294">
      <c r="A294" t="inlineStr">
        <is>
          <t xml:space="preserve">home </t>
        </is>
      </c>
      <c r="B294">
        <f>VLOOKUP(959,Requirements!A2:B2967,2,FALSE)</f>
        <v/>
      </c>
    </row>
    <row r="295">
      <c r="A295" t="inlineStr">
        <is>
          <t xml:space="preserve">home </t>
        </is>
      </c>
      <c r="B295">
        <f>VLOOKUP(960,Requirements!A2:B2967,2,FALSE)</f>
        <v/>
      </c>
    </row>
    <row r="296">
      <c r="A296" t="inlineStr">
        <is>
          <t xml:space="preserve">home </t>
        </is>
      </c>
      <c r="B296">
        <f>VLOOKUP(961,Requirements!A2:B2967,2,FALSE)</f>
        <v/>
      </c>
    </row>
    <row r="297">
      <c r="A297" t="inlineStr">
        <is>
          <t xml:space="preserve">home </t>
        </is>
      </c>
      <c r="B297">
        <f>VLOOKUP(962,Requirements!A2:B2967,2,FALSE)</f>
        <v/>
      </c>
    </row>
    <row r="298">
      <c r="A298" t="inlineStr">
        <is>
          <t xml:space="preserve">home </t>
        </is>
      </c>
      <c r="B298">
        <f>VLOOKUP(963,Requirements!A2:B2967,2,FALSE)</f>
        <v/>
      </c>
    </row>
    <row r="299">
      <c r="A299" t="inlineStr">
        <is>
          <t xml:space="preserve">home </t>
        </is>
      </c>
      <c r="B299">
        <f>VLOOKUP(964,Requirements!A2:B2967,2,FALSE)</f>
        <v/>
      </c>
    </row>
    <row r="300">
      <c r="A300" t="inlineStr">
        <is>
          <t xml:space="preserve">home </t>
        </is>
      </c>
      <c r="B300">
        <f>VLOOKUP(965,Requirements!A2:B2967,2,FALSE)</f>
        <v/>
      </c>
    </row>
    <row r="301">
      <c r="A301" t="inlineStr">
        <is>
          <t xml:space="preserve">home </t>
        </is>
      </c>
      <c r="B301">
        <f>VLOOKUP(971,Requirements!A2:B2967,2,FALSE)</f>
        <v/>
      </c>
    </row>
    <row r="302">
      <c r="A302" t="inlineStr">
        <is>
          <t xml:space="preserve">home </t>
        </is>
      </c>
      <c r="B302">
        <f>VLOOKUP(974,Requirements!A2:B2967,2,FALSE)</f>
        <v/>
      </c>
    </row>
    <row r="303">
      <c r="A303" t="inlineStr">
        <is>
          <t xml:space="preserve">home </t>
        </is>
      </c>
      <c r="B303">
        <f>VLOOKUP(975,Requirements!A2:B2967,2,FALSE)</f>
        <v/>
      </c>
    </row>
    <row r="304">
      <c r="A304" t="inlineStr">
        <is>
          <t xml:space="preserve">home </t>
        </is>
      </c>
      <c r="B304">
        <f>VLOOKUP(976,Requirements!A2:B2967,2,FALSE)</f>
        <v/>
      </c>
    </row>
    <row r="305">
      <c r="A305" t="inlineStr">
        <is>
          <t xml:space="preserve">home </t>
        </is>
      </c>
      <c r="B305">
        <f>VLOOKUP(984,Requirements!A2:B2967,2,FALSE)</f>
        <v/>
      </c>
    </row>
    <row r="306">
      <c r="A306" t="inlineStr">
        <is>
          <t xml:space="preserve">home </t>
        </is>
      </c>
      <c r="B306">
        <f>VLOOKUP(991,Requirements!A2:B2967,2,FALSE)</f>
        <v/>
      </c>
    </row>
    <row r="307">
      <c r="A307" t="inlineStr">
        <is>
          <t xml:space="preserve">home </t>
        </is>
      </c>
      <c r="B307">
        <f>VLOOKUP(993,Requirements!A2:B2967,2,FALSE)</f>
        <v/>
      </c>
    </row>
    <row r="308">
      <c r="A308" t="inlineStr">
        <is>
          <t xml:space="preserve">home </t>
        </is>
      </c>
      <c r="B308">
        <f>VLOOKUP(1005,Requirements!A2:B2967,2,FALSE)</f>
        <v/>
      </c>
    </row>
    <row r="309">
      <c r="A309" t="inlineStr">
        <is>
          <t xml:space="preserve">home </t>
        </is>
      </c>
      <c r="B309">
        <f>VLOOKUP(1007,Requirements!A2:B2967,2,FALSE)</f>
        <v/>
      </c>
    </row>
    <row r="310">
      <c r="A310" t="inlineStr">
        <is>
          <t xml:space="preserve">home </t>
        </is>
      </c>
      <c r="B310">
        <f>VLOOKUP(1016,Requirements!A2:B2967,2,FALSE)</f>
        <v/>
      </c>
    </row>
    <row r="311">
      <c r="A311" t="inlineStr">
        <is>
          <t xml:space="preserve">home </t>
        </is>
      </c>
      <c r="B311">
        <f>VLOOKUP(1019,Requirements!A2:B2967,2,FALSE)</f>
        <v/>
      </c>
    </row>
    <row r="312">
      <c r="A312" t="inlineStr">
        <is>
          <t xml:space="preserve">home </t>
        </is>
      </c>
      <c r="B312">
        <f>VLOOKUP(1036,Requirements!A2:B2967,2,FALSE)</f>
        <v/>
      </c>
    </row>
    <row r="313">
      <c r="A313" t="inlineStr">
        <is>
          <t xml:space="preserve">home </t>
        </is>
      </c>
      <c r="B313">
        <f>VLOOKUP(1051,Requirements!A2:B2967,2,FALSE)</f>
        <v/>
      </c>
    </row>
    <row r="314">
      <c r="A314" t="inlineStr">
        <is>
          <t xml:space="preserve">home </t>
        </is>
      </c>
      <c r="B314">
        <f>VLOOKUP(1061,Requirements!A2:B2967,2,FALSE)</f>
        <v/>
      </c>
    </row>
    <row r="315">
      <c r="A315" t="inlineStr">
        <is>
          <t xml:space="preserve">home </t>
        </is>
      </c>
      <c r="B315">
        <f>VLOOKUP(1072,Requirements!A2:B2967,2,FALSE)</f>
        <v/>
      </c>
    </row>
    <row r="316">
      <c r="A316" t="inlineStr">
        <is>
          <t xml:space="preserve">home </t>
        </is>
      </c>
      <c r="B316">
        <f>VLOOKUP(1074,Requirements!A2:B2967,2,FALSE)</f>
        <v/>
      </c>
    </row>
    <row r="317">
      <c r="A317" t="inlineStr">
        <is>
          <t xml:space="preserve">home </t>
        </is>
      </c>
      <c r="B317">
        <f>VLOOKUP(1091,Requirements!A2:B2967,2,FALSE)</f>
        <v/>
      </c>
    </row>
    <row r="318">
      <c r="A318" t="inlineStr">
        <is>
          <t xml:space="preserve">home </t>
        </is>
      </c>
      <c r="B318">
        <f>VLOOKUP(1097,Requirements!A2:B2967,2,FALSE)</f>
        <v/>
      </c>
    </row>
    <row r="319">
      <c r="A319" t="inlineStr">
        <is>
          <t xml:space="preserve">home </t>
        </is>
      </c>
      <c r="B319">
        <f>VLOOKUP(1099,Requirements!A2:B2967,2,FALSE)</f>
        <v/>
      </c>
    </row>
    <row r="320">
      <c r="A320" t="inlineStr">
        <is>
          <t xml:space="preserve">home </t>
        </is>
      </c>
      <c r="B320">
        <f>VLOOKUP(1100,Requirements!A2:B2967,2,FALSE)</f>
        <v/>
      </c>
    </row>
    <row r="321">
      <c r="A321" t="inlineStr">
        <is>
          <t xml:space="preserve">home </t>
        </is>
      </c>
      <c r="B321">
        <f>VLOOKUP(1105,Requirements!A2:B2967,2,FALSE)</f>
        <v/>
      </c>
    </row>
    <row r="322">
      <c r="A322" t="inlineStr">
        <is>
          <t xml:space="preserve">home </t>
        </is>
      </c>
      <c r="B322">
        <f>VLOOKUP(1107,Requirements!A2:B2967,2,FALSE)</f>
        <v/>
      </c>
    </row>
    <row r="323">
      <c r="A323" t="inlineStr">
        <is>
          <t xml:space="preserve">home </t>
        </is>
      </c>
      <c r="B323">
        <f>VLOOKUP(1108,Requirements!A2:B2967,2,FALSE)</f>
        <v/>
      </c>
    </row>
    <row r="324">
      <c r="A324" t="inlineStr">
        <is>
          <t xml:space="preserve">home </t>
        </is>
      </c>
      <c r="B324">
        <f>VLOOKUP(1109,Requirements!A2:B2967,2,FALSE)</f>
        <v/>
      </c>
    </row>
    <row r="325">
      <c r="A325" t="inlineStr">
        <is>
          <t xml:space="preserve">home </t>
        </is>
      </c>
      <c r="B325">
        <f>VLOOKUP(1110,Requirements!A2:B2967,2,FALSE)</f>
        <v/>
      </c>
    </row>
    <row r="326">
      <c r="A326" t="inlineStr">
        <is>
          <t xml:space="preserve">home </t>
        </is>
      </c>
      <c r="B326">
        <f>VLOOKUP(1111,Requirements!A2:B2967,2,FALSE)</f>
        <v/>
      </c>
    </row>
    <row r="327">
      <c r="A327" t="inlineStr">
        <is>
          <t xml:space="preserve">home </t>
        </is>
      </c>
      <c r="B327">
        <f>VLOOKUP(1115,Requirements!A2:B2967,2,FALSE)</f>
        <v/>
      </c>
    </row>
    <row r="328">
      <c r="A328" t="inlineStr">
        <is>
          <t xml:space="preserve">home </t>
        </is>
      </c>
      <c r="B328">
        <f>VLOOKUP(1118,Requirements!A2:B2967,2,FALSE)</f>
        <v/>
      </c>
    </row>
    <row r="329">
      <c r="A329" t="inlineStr">
        <is>
          <t xml:space="preserve">home </t>
        </is>
      </c>
      <c r="B329">
        <f>VLOOKUP(1119,Requirements!A2:B2967,2,FALSE)</f>
        <v/>
      </c>
    </row>
    <row r="330">
      <c r="A330" t="inlineStr">
        <is>
          <t xml:space="preserve">home </t>
        </is>
      </c>
      <c r="B330">
        <f>VLOOKUP(1120,Requirements!A2:B2967,2,FALSE)</f>
        <v/>
      </c>
    </row>
    <row r="331">
      <c r="A331" t="inlineStr">
        <is>
          <t xml:space="preserve">home </t>
        </is>
      </c>
      <c r="B331">
        <f>VLOOKUP(1121,Requirements!A2:B2967,2,FALSE)</f>
        <v/>
      </c>
    </row>
    <row r="332">
      <c r="A332" t="inlineStr">
        <is>
          <t xml:space="preserve">home </t>
        </is>
      </c>
      <c r="B332">
        <f>VLOOKUP(1122,Requirements!A2:B2967,2,FALSE)</f>
        <v/>
      </c>
    </row>
    <row r="333">
      <c r="A333" t="inlineStr">
        <is>
          <t xml:space="preserve">home </t>
        </is>
      </c>
      <c r="B333">
        <f>VLOOKUP(1123,Requirements!A2:B2967,2,FALSE)</f>
        <v/>
      </c>
    </row>
    <row r="334">
      <c r="A334" t="inlineStr">
        <is>
          <t xml:space="preserve">home </t>
        </is>
      </c>
      <c r="B334">
        <f>VLOOKUP(1124,Requirements!A2:B2967,2,FALSE)</f>
        <v/>
      </c>
    </row>
    <row r="335">
      <c r="A335" t="inlineStr">
        <is>
          <t xml:space="preserve">home </t>
        </is>
      </c>
      <c r="B335">
        <f>VLOOKUP(1125,Requirements!A2:B2967,2,FALSE)</f>
        <v/>
      </c>
    </row>
    <row r="336">
      <c r="A336" t="inlineStr">
        <is>
          <t xml:space="preserve">home </t>
        </is>
      </c>
      <c r="B336">
        <f>VLOOKUP(1126,Requirements!A2:B2967,2,FALSE)</f>
        <v/>
      </c>
    </row>
    <row r="337">
      <c r="A337" t="inlineStr">
        <is>
          <t xml:space="preserve">home </t>
        </is>
      </c>
      <c r="B337">
        <f>VLOOKUP(1127,Requirements!A2:B2967,2,FALSE)</f>
        <v/>
      </c>
    </row>
    <row r="338">
      <c r="A338" t="inlineStr">
        <is>
          <t xml:space="preserve">home </t>
        </is>
      </c>
      <c r="B338">
        <f>VLOOKUP(1128,Requirements!A2:B2967,2,FALSE)</f>
        <v/>
      </c>
    </row>
    <row r="339">
      <c r="A339" t="inlineStr">
        <is>
          <t xml:space="preserve">home </t>
        </is>
      </c>
      <c r="B339">
        <f>VLOOKUP(1133,Requirements!A2:B2967,2,FALSE)</f>
        <v/>
      </c>
    </row>
    <row r="340">
      <c r="A340" t="inlineStr">
        <is>
          <t xml:space="preserve">home </t>
        </is>
      </c>
      <c r="B340">
        <f>VLOOKUP(1141,Requirements!A2:B2967,2,FALSE)</f>
        <v/>
      </c>
    </row>
    <row r="341">
      <c r="A341" t="inlineStr">
        <is>
          <t xml:space="preserve">home </t>
        </is>
      </c>
      <c r="B341">
        <f>VLOOKUP(1142,Requirements!A2:B2967,2,FALSE)</f>
        <v/>
      </c>
    </row>
    <row r="342">
      <c r="A342" t="inlineStr">
        <is>
          <t xml:space="preserve">home </t>
        </is>
      </c>
      <c r="B342">
        <f>VLOOKUP(1156,Requirements!A2:B2967,2,FALSE)</f>
        <v/>
      </c>
    </row>
    <row r="343">
      <c r="A343" t="inlineStr">
        <is>
          <t xml:space="preserve">home </t>
        </is>
      </c>
      <c r="B343">
        <f>VLOOKUP(1160,Requirements!A2:B2967,2,FALSE)</f>
        <v/>
      </c>
    </row>
    <row r="344">
      <c r="A344" t="inlineStr">
        <is>
          <t xml:space="preserve">home </t>
        </is>
      </c>
      <c r="B344">
        <f>VLOOKUP(1161,Requirements!A2:B2967,2,FALSE)</f>
        <v/>
      </c>
    </row>
    <row r="345">
      <c r="A345" t="inlineStr">
        <is>
          <t xml:space="preserve">home </t>
        </is>
      </c>
      <c r="B345">
        <f>VLOOKUP(1162,Requirements!A2:B2967,2,FALSE)</f>
        <v/>
      </c>
    </row>
    <row r="346">
      <c r="A346" t="inlineStr">
        <is>
          <t xml:space="preserve">home </t>
        </is>
      </c>
      <c r="B346">
        <f>VLOOKUP(1163,Requirements!A2:B2967,2,FALSE)</f>
        <v/>
      </c>
    </row>
    <row r="347">
      <c r="A347" t="inlineStr">
        <is>
          <t xml:space="preserve">home </t>
        </is>
      </c>
      <c r="B347">
        <f>VLOOKUP(1164,Requirements!A2:B2967,2,FALSE)</f>
        <v/>
      </c>
    </row>
    <row r="348">
      <c r="A348" t="inlineStr">
        <is>
          <t xml:space="preserve">home </t>
        </is>
      </c>
      <c r="B348">
        <f>VLOOKUP(1165,Requirements!A2:B2967,2,FALSE)</f>
        <v/>
      </c>
    </row>
    <row r="349">
      <c r="A349" t="inlineStr">
        <is>
          <t xml:space="preserve">home </t>
        </is>
      </c>
      <c r="B349">
        <f>VLOOKUP(1166,Requirements!A2:B2967,2,FALSE)</f>
        <v/>
      </c>
    </row>
    <row r="350">
      <c r="A350" t="inlineStr">
        <is>
          <t xml:space="preserve">home </t>
        </is>
      </c>
      <c r="B350">
        <f>VLOOKUP(1167,Requirements!A2:B2967,2,FALSE)</f>
        <v/>
      </c>
    </row>
    <row r="351">
      <c r="A351" t="inlineStr">
        <is>
          <t xml:space="preserve">home </t>
        </is>
      </c>
      <c r="B351">
        <f>VLOOKUP(1168,Requirements!A2:B2967,2,FALSE)</f>
        <v/>
      </c>
    </row>
    <row r="352">
      <c r="A352" t="inlineStr">
        <is>
          <t xml:space="preserve">home </t>
        </is>
      </c>
      <c r="B352">
        <f>VLOOKUP(1176,Requirements!A2:B2967,2,FALSE)</f>
        <v/>
      </c>
    </row>
    <row r="353">
      <c r="A353" t="inlineStr">
        <is>
          <t xml:space="preserve">home </t>
        </is>
      </c>
      <c r="B353">
        <f>VLOOKUP(1180,Requirements!A2:B2967,2,FALSE)</f>
        <v/>
      </c>
    </row>
    <row r="354">
      <c r="A354" t="inlineStr">
        <is>
          <t xml:space="preserve">home </t>
        </is>
      </c>
      <c r="B354">
        <f>VLOOKUP(1200,Requirements!A2:B2967,2,FALSE)</f>
        <v/>
      </c>
    </row>
    <row r="355">
      <c r="A355" t="inlineStr">
        <is>
          <t xml:space="preserve">home </t>
        </is>
      </c>
      <c r="B355">
        <f>VLOOKUP(1208,Requirements!A2:B2967,2,FALSE)</f>
        <v/>
      </c>
    </row>
    <row r="356">
      <c r="A356" t="inlineStr">
        <is>
          <t xml:space="preserve">home </t>
        </is>
      </c>
      <c r="B356">
        <f>VLOOKUP(1213,Requirements!A2:B2967,2,FALSE)</f>
        <v/>
      </c>
    </row>
    <row r="357">
      <c r="A357" t="inlineStr">
        <is>
          <t xml:space="preserve">home </t>
        </is>
      </c>
      <c r="B357">
        <f>VLOOKUP(1255,Requirements!A2:B2967,2,FALSE)</f>
        <v/>
      </c>
    </row>
    <row r="358">
      <c r="A358" t="inlineStr">
        <is>
          <t xml:space="preserve">home </t>
        </is>
      </c>
      <c r="B358">
        <f>VLOOKUP(1264,Requirements!A2:B2967,2,FALSE)</f>
        <v/>
      </c>
    </row>
    <row r="359">
      <c r="A359" t="inlineStr">
        <is>
          <t xml:space="preserve">home </t>
        </is>
      </c>
      <c r="B359">
        <f>VLOOKUP(1268,Requirements!A2:B2967,2,FALSE)</f>
        <v/>
      </c>
    </row>
    <row r="360">
      <c r="A360" t="inlineStr">
        <is>
          <t xml:space="preserve">home </t>
        </is>
      </c>
      <c r="B360">
        <f>VLOOKUP(1275,Requirements!A2:B2967,2,FALSE)</f>
        <v/>
      </c>
    </row>
    <row r="361">
      <c r="A361" t="inlineStr">
        <is>
          <t xml:space="preserve">home </t>
        </is>
      </c>
      <c r="B361">
        <f>VLOOKUP(1276,Requirements!A2:B2967,2,FALSE)</f>
        <v/>
      </c>
    </row>
    <row r="362">
      <c r="A362" t="inlineStr">
        <is>
          <t xml:space="preserve">home </t>
        </is>
      </c>
      <c r="B362">
        <f>VLOOKUP(1285,Requirements!A2:B2967,2,FALSE)</f>
        <v/>
      </c>
    </row>
    <row r="363">
      <c r="A363" t="inlineStr">
        <is>
          <t xml:space="preserve">home </t>
        </is>
      </c>
      <c r="B363">
        <f>VLOOKUP(1287,Requirements!A2:B2967,2,FALSE)</f>
        <v/>
      </c>
    </row>
    <row r="364">
      <c r="A364" t="inlineStr">
        <is>
          <t xml:space="preserve">home </t>
        </is>
      </c>
      <c r="B364">
        <f>VLOOKUP(1294,Requirements!A2:B2967,2,FALSE)</f>
        <v/>
      </c>
    </row>
    <row r="365">
      <c r="A365" t="inlineStr">
        <is>
          <t xml:space="preserve">home </t>
        </is>
      </c>
      <c r="B365">
        <f>VLOOKUP(1295,Requirements!A2:B2967,2,FALSE)</f>
        <v/>
      </c>
    </row>
    <row r="366">
      <c r="A366" t="inlineStr">
        <is>
          <t xml:space="preserve">home </t>
        </is>
      </c>
      <c r="B366">
        <f>VLOOKUP(1297,Requirements!A2:B2967,2,FALSE)</f>
        <v/>
      </c>
    </row>
    <row r="367">
      <c r="A367" t="inlineStr">
        <is>
          <t xml:space="preserve">home </t>
        </is>
      </c>
      <c r="B367">
        <f>VLOOKUP(1305,Requirements!A2:B2967,2,FALSE)</f>
        <v/>
      </c>
    </row>
    <row r="368">
      <c r="A368" t="inlineStr">
        <is>
          <t xml:space="preserve">home </t>
        </is>
      </c>
      <c r="B368">
        <f>VLOOKUP(1314,Requirements!A2:B2967,2,FALSE)</f>
        <v/>
      </c>
    </row>
    <row r="369">
      <c r="A369" t="inlineStr">
        <is>
          <t xml:space="preserve">home </t>
        </is>
      </c>
      <c r="B369">
        <f>VLOOKUP(1324,Requirements!A2:B2967,2,FALSE)</f>
        <v/>
      </c>
    </row>
    <row r="370">
      <c r="A370" t="inlineStr">
        <is>
          <t xml:space="preserve">home </t>
        </is>
      </c>
      <c r="B370">
        <f>VLOOKUP(1331,Requirements!A2:B2967,2,FALSE)</f>
        <v/>
      </c>
    </row>
    <row r="371">
      <c r="A371" t="inlineStr">
        <is>
          <t xml:space="preserve">home </t>
        </is>
      </c>
      <c r="B371">
        <f>VLOOKUP(1334,Requirements!A2:B2967,2,FALSE)</f>
        <v/>
      </c>
    </row>
    <row r="372">
      <c r="A372" t="inlineStr">
        <is>
          <t xml:space="preserve">home </t>
        </is>
      </c>
      <c r="B372">
        <f>VLOOKUP(1335,Requirements!A2:B2967,2,FALSE)</f>
        <v/>
      </c>
    </row>
    <row r="373">
      <c r="A373" t="inlineStr">
        <is>
          <t xml:space="preserve">home </t>
        </is>
      </c>
      <c r="B373">
        <f>VLOOKUP(1337,Requirements!A2:B2967,2,FALSE)</f>
        <v/>
      </c>
    </row>
    <row r="374">
      <c r="A374" t="inlineStr">
        <is>
          <t xml:space="preserve">home </t>
        </is>
      </c>
      <c r="B374">
        <f>VLOOKUP(1338,Requirements!A2:B2967,2,FALSE)</f>
        <v/>
      </c>
    </row>
    <row r="375">
      <c r="A375" t="inlineStr">
        <is>
          <t xml:space="preserve">home </t>
        </is>
      </c>
      <c r="B375">
        <f>VLOOKUP(1341,Requirements!A2:B2967,2,FALSE)</f>
        <v/>
      </c>
    </row>
    <row r="376">
      <c r="A376" t="inlineStr">
        <is>
          <t xml:space="preserve">home </t>
        </is>
      </c>
      <c r="B376">
        <f>VLOOKUP(1343,Requirements!A2:B2967,2,FALSE)</f>
        <v/>
      </c>
    </row>
    <row r="377">
      <c r="A377" t="inlineStr">
        <is>
          <t xml:space="preserve">home </t>
        </is>
      </c>
      <c r="B377">
        <f>VLOOKUP(1344,Requirements!A2:B2967,2,FALSE)</f>
        <v/>
      </c>
    </row>
    <row r="378">
      <c r="A378" t="inlineStr">
        <is>
          <t xml:space="preserve">home </t>
        </is>
      </c>
      <c r="B378">
        <f>VLOOKUP(1348,Requirements!A2:B2967,2,FALSE)</f>
        <v/>
      </c>
    </row>
    <row r="379">
      <c r="A379" t="inlineStr">
        <is>
          <t xml:space="preserve">home </t>
        </is>
      </c>
      <c r="B379">
        <f>VLOOKUP(1350,Requirements!A2:B2967,2,FALSE)</f>
        <v/>
      </c>
    </row>
    <row r="380">
      <c r="A380" t="inlineStr">
        <is>
          <t xml:space="preserve">home </t>
        </is>
      </c>
      <c r="B380">
        <f>VLOOKUP(1363,Requirements!A2:B2967,2,FALSE)</f>
        <v/>
      </c>
    </row>
    <row r="381">
      <c r="A381" t="inlineStr">
        <is>
          <t xml:space="preserve">home </t>
        </is>
      </c>
      <c r="B381">
        <f>VLOOKUP(1386,Requirements!A2:B2967,2,FALSE)</f>
        <v/>
      </c>
    </row>
    <row r="382">
      <c r="A382" t="inlineStr">
        <is>
          <t xml:space="preserve">home </t>
        </is>
      </c>
      <c r="B382">
        <f>VLOOKUP(1387,Requirements!A2:B2967,2,FALSE)</f>
        <v/>
      </c>
    </row>
    <row r="383">
      <c r="A383" t="inlineStr">
        <is>
          <t xml:space="preserve">home </t>
        </is>
      </c>
      <c r="B383">
        <f>VLOOKUP(1401,Requirements!A2:B2967,2,FALSE)</f>
        <v/>
      </c>
    </row>
    <row r="384">
      <c r="A384" t="inlineStr">
        <is>
          <t xml:space="preserve">home </t>
        </is>
      </c>
      <c r="B384">
        <f>VLOOKUP(1404,Requirements!A2:B2967,2,FALSE)</f>
        <v/>
      </c>
    </row>
    <row r="385">
      <c r="A385" t="inlineStr">
        <is>
          <t xml:space="preserve">home </t>
        </is>
      </c>
      <c r="B385">
        <f>VLOOKUP(1405,Requirements!A2:B2967,2,FALSE)</f>
        <v/>
      </c>
    </row>
    <row r="386">
      <c r="A386" t="inlineStr">
        <is>
          <t xml:space="preserve">home </t>
        </is>
      </c>
      <c r="B386">
        <f>VLOOKUP(1407,Requirements!A2:B2967,2,FALSE)</f>
        <v/>
      </c>
    </row>
    <row r="387">
      <c r="A387" t="inlineStr">
        <is>
          <t xml:space="preserve">home </t>
        </is>
      </c>
      <c r="B387">
        <f>VLOOKUP(1418,Requirements!A2:B2967,2,FALSE)</f>
        <v/>
      </c>
    </row>
    <row r="388">
      <c r="A388" t="inlineStr">
        <is>
          <t xml:space="preserve">home </t>
        </is>
      </c>
      <c r="B388">
        <f>VLOOKUP(1423,Requirements!A2:B2967,2,FALSE)</f>
        <v/>
      </c>
    </row>
    <row r="389">
      <c r="A389" t="inlineStr">
        <is>
          <t xml:space="preserve">home </t>
        </is>
      </c>
      <c r="B389">
        <f>VLOOKUP(1427,Requirements!A2:B2967,2,FALSE)</f>
        <v/>
      </c>
    </row>
    <row r="390">
      <c r="A390" t="inlineStr">
        <is>
          <t xml:space="preserve">home </t>
        </is>
      </c>
      <c r="B390">
        <f>VLOOKUP(1428,Requirements!A2:B2967,2,FALSE)</f>
        <v/>
      </c>
    </row>
    <row r="391">
      <c r="A391" t="inlineStr">
        <is>
          <t xml:space="preserve">home </t>
        </is>
      </c>
      <c r="B391">
        <f>VLOOKUP(1430,Requirements!A2:B2967,2,FALSE)</f>
        <v/>
      </c>
    </row>
    <row r="392">
      <c r="A392" t="inlineStr">
        <is>
          <t xml:space="preserve">home </t>
        </is>
      </c>
      <c r="B392">
        <f>VLOOKUP(1432,Requirements!A2:B2967,2,FALSE)</f>
        <v/>
      </c>
    </row>
    <row r="393">
      <c r="A393" t="inlineStr">
        <is>
          <t xml:space="preserve">home </t>
        </is>
      </c>
      <c r="B393">
        <f>VLOOKUP(1444,Requirements!A2:B2967,2,FALSE)</f>
        <v/>
      </c>
    </row>
    <row r="394">
      <c r="A394" t="inlineStr">
        <is>
          <t xml:space="preserve">home </t>
        </is>
      </c>
      <c r="B394">
        <f>VLOOKUP(1445,Requirements!A2:B2967,2,FALSE)</f>
        <v/>
      </c>
    </row>
    <row r="395">
      <c r="A395" t="inlineStr">
        <is>
          <t xml:space="preserve">home </t>
        </is>
      </c>
      <c r="B395">
        <f>VLOOKUP(1452,Requirements!A2:B2967,2,FALSE)</f>
        <v/>
      </c>
    </row>
    <row r="396">
      <c r="A396" t="inlineStr">
        <is>
          <t xml:space="preserve">home </t>
        </is>
      </c>
      <c r="B396">
        <f>VLOOKUP(1464,Requirements!A2:B2967,2,FALSE)</f>
        <v/>
      </c>
    </row>
    <row r="397">
      <c r="A397" t="inlineStr">
        <is>
          <t xml:space="preserve">home </t>
        </is>
      </c>
      <c r="B397">
        <f>VLOOKUP(1473,Requirements!A2:B2967,2,FALSE)</f>
        <v/>
      </c>
    </row>
    <row r="398">
      <c r="A398" t="inlineStr">
        <is>
          <t xml:space="preserve">home </t>
        </is>
      </c>
      <c r="B398">
        <f>VLOOKUP(1489,Requirements!A2:B2967,2,FALSE)</f>
        <v/>
      </c>
    </row>
    <row r="399">
      <c r="A399" t="inlineStr">
        <is>
          <t xml:space="preserve">home </t>
        </is>
      </c>
      <c r="B399">
        <f>VLOOKUP(1495,Requirements!A2:B2967,2,FALSE)</f>
        <v/>
      </c>
    </row>
    <row r="400">
      <c r="A400" t="inlineStr">
        <is>
          <t xml:space="preserve">home </t>
        </is>
      </c>
      <c r="B400">
        <f>VLOOKUP(1498,Requirements!A2:B2967,2,FALSE)</f>
        <v/>
      </c>
    </row>
    <row r="401">
      <c r="A401" t="inlineStr">
        <is>
          <t xml:space="preserve">home </t>
        </is>
      </c>
      <c r="B401">
        <f>VLOOKUP(1499,Requirements!A2:B2967,2,FALSE)</f>
        <v/>
      </c>
    </row>
    <row r="402">
      <c r="A402" t="inlineStr">
        <is>
          <t xml:space="preserve">home </t>
        </is>
      </c>
      <c r="B402">
        <f>VLOOKUP(1502,Requirements!A2:B2967,2,FALSE)</f>
        <v/>
      </c>
    </row>
    <row r="403">
      <c r="A403" t="inlineStr">
        <is>
          <t xml:space="preserve">home </t>
        </is>
      </c>
      <c r="B403">
        <f>VLOOKUP(1504,Requirements!A2:B2967,2,FALSE)</f>
        <v/>
      </c>
    </row>
    <row r="404">
      <c r="A404" t="inlineStr">
        <is>
          <t xml:space="preserve">home </t>
        </is>
      </c>
      <c r="B404">
        <f>VLOOKUP(1508,Requirements!A2:B2967,2,FALSE)</f>
        <v/>
      </c>
    </row>
    <row r="405">
      <c r="A405" t="inlineStr">
        <is>
          <t xml:space="preserve">home </t>
        </is>
      </c>
      <c r="B405">
        <f>VLOOKUP(1511,Requirements!A2:B2967,2,FALSE)</f>
        <v/>
      </c>
    </row>
    <row r="406">
      <c r="A406" t="inlineStr">
        <is>
          <t xml:space="preserve">home </t>
        </is>
      </c>
      <c r="B406">
        <f>VLOOKUP(1514,Requirements!A2:B2967,2,FALSE)</f>
        <v/>
      </c>
    </row>
    <row r="407">
      <c r="A407" t="inlineStr">
        <is>
          <t xml:space="preserve">home </t>
        </is>
      </c>
      <c r="B407">
        <f>VLOOKUP(1516,Requirements!A2:B2967,2,FALSE)</f>
        <v/>
      </c>
    </row>
    <row r="408">
      <c r="A408" t="inlineStr">
        <is>
          <t xml:space="preserve">home </t>
        </is>
      </c>
      <c r="B408">
        <f>VLOOKUP(1517,Requirements!A2:B2967,2,FALSE)</f>
        <v/>
      </c>
    </row>
    <row r="409">
      <c r="A409" t="inlineStr">
        <is>
          <t xml:space="preserve">home </t>
        </is>
      </c>
      <c r="B409">
        <f>VLOOKUP(1526,Requirements!A2:B2967,2,FALSE)</f>
        <v/>
      </c>
    </row>
    <row r="410">
      <c r="A410" t="inlineStr">
        <is>
          <t xml:space="preserve">home </t>
        </is>
      </c>
      <c r="B410">
        <f>VLOOKUP(1527,Requirements!A2:B2967,2,FALSE)</f>
        <v/>
      </c>
    </row>
    <row r="411">
      <c r="A411" t="inlineStr">
        <is>
          <t xml:space="preserve">home </t>
        </is>
      </c>
      <c r="B411">
        <f>VLOOKUP(1531,Requirements!A2:B2967,2,FALSE)</f>
        <v/>
      </c>
    </row>
    <row r="412">
      <c r="A412" t="inlineStr">
        <is>
          <t xml:space="preserve">home </t>
        </is>
      </c>
      <c r="B412">
        <f>VLOOKUP(1534,Requirements!A2:B2967,2,FALSE)</f>
        <v/>
      </c>
    </row>
    <row r="413">
      <c r="A413" t="inlineStr">
        <is>
          <t xml:space="preserve">home </t>
        </is>
      </c>
      <c r="B413">
        <f>VLOOKUP(1535,Requirements!A2:B2967,2,FALSE)</f>
        <v/>
      </c>
    </row>
    <row r="414">
      <c r="A414" t="inlineStr">
        <is>
          <t xml:space="preserve">home </t>
        </is>
      </c>
      <c r="B414">
        <f>VLOOKUP(1536,Requirements!A2:B2967,2,FALSE)</f>
        <v/>
      </c>
    </row>
    <row r="415">
      <c r="A415" t="inlineStr">
        <is>
          <t xml:space="preserve">home </t>
        </is>
      </c>
      <c r="B415">
        <f>VLOOKUP(1547,Requirements!A2:B2967,2,FALSE)</f>
        <v/>
      </c>
    </row>
    <row r="416">
      <c r="A416" t="inlineStr">
        <is>
          <t xml:space="preserve">home </t>
        </is>
      </c>
      <c r="B416">
        <f>VLOOKUP(1549,Requirements!A2:B2967,2,FALSE)</f>
        <v/>
      </c>
    </row>
    <row r="417">
      <c r="A417" t="inlineStr">
        <is>
          <t xml:space="preserve">home </t>
        </is>
      </c>
      <c r="B417">
        <f>VLOOKUP(1556,Requirements!A2:B2967,2,FALSE)</f>
        <v/>
      </c>
    </row>
    <row r="418">
      <c r="A418" t="inlineStr">
        <is>
          <t xml:space="preserve">home </t>
        </is>
      </c>
      <c r="B418">
        <f>VLOOKUP(1562,Requirements!A2:B2967,2,FALSE)</f>
        <v/>
      </c>
    </row>
    <row r="419">
      <c r="A419" t="inlineStr">
        <is>
          <t xml:space="preserve">home </t>
        </is>
      </c>
      <c r="B419">
        <f>VLOOKUP(1566,Requirements!A2:B2967,2,FALSE)</f>
        <v/>
      </c>
    </row>
    <row r="420">
      <c r="A420" t="inlineStr">
        <is>
          <t xml:space="preserve">home </t>
        </is>
      </c>
      <c r="B420">
        <f>VLOOKUP(1570,Requirements!A2:B2967,2,FALSE)</f>
        <v/>
      </c>
    </row>
    <row r="421">
      <c r="A421" t="inlineStr">
        <is>
          <t xml:space="preserve">home </t>
        </is>
      </c>
      <c r="B421">
        <f>VLOOKUP(1574,Requirements!A2:B2967,2,FALSE)</f>
        <v/>
      </c>
    </row>
    <row r="422">
      <c r="A422" t="inlineStr">
        <is>
          <t xml:space="preserve">home </t>
        </is>
      </c>
      <c r="B422">
        <f>VLOOKUP(1575,Requirements!A2:B2967,2,FALSE)</f>
        <v/>
      </c>
    </row>
    <row r="423">
      <c r="A423" t="inlineStr">
        <is>
          <t xml:space="preserve">home </t>
        </is>
      </c>
      <c r="B423">
        <f>VLOOKUP(1586,Requirements!A2:B2967,2,FALSE)</f>
        <v/>
      </c>
    </row>
    <row r="424">
      <c r="A424" t="inlineStr">
        <is>
          <t xml:space="preserve">home </t>
        </is>
      </c>
      <c r="B424">
        <f>VLOOKUP(1597,Requirements!A2:B2967,2,FALSE)</f>
        <v/>
      </c>
    </row>
    <row r="425">
      <c r="A425" t="inlineStr">
        <is>
          <t xml:space="preserve">home </t>
        </is>
      </c>
      <c r="B425">
        <f>VLOOKUP(1617,Requirements!A2:B2967,2,FALSE)</f>
        <v/>
      </c>
    </row>
    <row r="426">
      <c r="A426" t="inlineStr">
        <is>
          <t xml:space="preserve">home </t>
        </is>
      </c>
      <c r="B426">
        <f>VLOOKUP(1621,Requirements!A2:B2967,2,FALSE)</f>
        <v/>
      </c>
    </row>
    <row r="427">
      <c r="A427" t="inlineStr">
        <is>
          <t xml:space="preserve">home </t>
        </is>
      </c>
      <c r="B427">
        <f>VLOOKUP(1623,Requirements!A2:B2967,2,FALSE)</f>
        <v/>
      </c>
    </row>
    <row r="428">
      <c r="A428" t="inlineStr">
        <is>
          <t xml:space="preserve">home </t>
        </is>
      </c>
      <c r="B428">
        <f>VLOOKUP(1629,Requirements!A2:B2967,2,FALSE)</f>
        <v/>
      </c>
    </row>
    <row r="429">
      <c r="A429" t="inlineStr">
        <is>
          <t xml:space="preserve">home </t>
        </is>
      </c>
      <c r="B429">
        <f>VLOOKUP(1647,Requirements!A2:B2967,2,FALSE)</f>
        <v/>
      </c>
    </row>
    <row r="430">
      <c r="A430" t="inlineStr">
        <is>
          <t xml:space="preserve">home </t>
        </is>
      </c>
      <c r="B430">
        <f>VLOOKUP(1648,Requirements!A2:B2967,2,FALSE)</f>
        <v/>
      </c>
    </row>
    <row r="431">
      <c r="A431" t="inlineStr">
        <is>
          <t xml:space="preserve">home </t>
        </is>
      </c>
      <c r="B431">
        <f>VLOOKUP(1654,Requirements!A2:B2967,2,FALSE)</f>
        <v/>
      </c>
    </row>
    <row r="432">
      <c r="A432" t="inlineStr">
        <is>
          <t xml:space="preserve">home </t>
        </is>
      </c>
      <c r="B432">
        <f>VLOOKUP(1663,Requirements!A2:B2967,2,FALSE)</f>
        <v/>
      </c>
    </row>
    <row r="433">
      <c r="A433" t="inlineStr">
        <is>
          <t xml:space="preserve">home </t>
        </is>
      </c>
      <c r="B433">
        <f>VLOOKUP(1664,Requirements!A2:B2967,2,FALSE)</f>
        <v/>
      </c>
    </row>
    <row r="434">
      <c r="A434" t="inlineStr">
        <is>
          <t xml:space="preserve">home </t>
        </is>
      </c>
      <c r="B434">
        <f>VLOOKUP(1667,Requirements!A2:B2967,2,FALSE)</f>
        <v/>
      </c>
    </row>
    <row r="435">
      <c r="A435" t="inlineStr">
        <is>
          <t xml:space="preserve">home </t>
        </is>
      </c>
      <c r="B435">
        <f>VLOOKUP(1670,Requirements!A2:B2967,2,FALSE)</f>
        <v/>
      </c>
    </row>
    <row r="436">
      <c r="A436" t="inlineStr">
        <is>
          <t xml:space="preserve">home </t>
        </is>
      </c>
      <c r="B436">
        <f>VLOOKUP(1672,Requirements!A2:B2967,2,FALSE)</f>
        <v/>
      </c>
    </row>
    <row r="437">
      <c r="A437" t="inlineStr">
        <is>
          <t xml:space="preserve">home </t>
        </is>
      </c>
      <c r="B437">
        <f>VLOOKUP(1673,Requirements!A2:B2967,2,FALSE)</f>
        <v/>
      </c>
    </row>
    <row r="438">
      <c r="A438" t="inlineStr">
        <is>
          <t xml:space="preserve">home </t>
        </is>
      </c>
      <c r="B438">
        <f>VLOOKUP(1674,Requirements!A2:B2967,2,FALSE)</f>
        <v/>
      </c>
    </row>
    <row r="439">
      <c r="A439" t="inlineStr">
        <is>
          <t xml:space="preserve">home </t>
        </is>
      </c>
      <c r="B439">
        <f>VLOOKUP(1678,Requirements!A2:B2967,2,FALSE)</f>
        <v/>
      </c>
    </row>
    <row r="440">
      <c r="A440" t="inlineStr">
        <is>
          <t xml:space="preserve">home </t>
        </is>
      </c>
      <c r="B440">
        <f>VLOOKUP(1679,Requirements!A2:B2967,2,FALSE)</f>
        <v/>
      </c>
    </row>
    <row r="441">
      <c r="A441" t="inlineStr">
        <is>
          <t xml:space="preserve">home </t>
        </is>
      </c>
      <c r="B441">
        <f>VLOOKUP(1681,Requirements!A2:B2967,2,FALSE)</f>
        <v/>
      </c>
    </row>
    <row r="442">
      <c r="A442" t="inlineStr">
        <is>
          <t xml:space="preserve">home </t>
        </is>
      </c>
      <c r="B442">
        <f>VLOOKUP(1699,Requirements!A2:B2967,2,FALSE)</f>
        <v/>
      </c>
    </row>
    <row r="443">
      <c r="A443" t="inlineStr">
        <is>
          <t xml:space="preserve">home </t>
        </is>
      </c>
      <c r="B443">
        <f>VLOOKUP(1701,Requirements!A2:B2967,2,FALSE)</f>
        <v/>
      </c>
    </row>
    <row r="444">
      <c r="A444" t="inlineStr">
        <is>
          <t xml:space="preserve">home </t>
        </is>
      </c>
      <c r="B444">
        <f>VLOOKUP(1744,Requirements!A2:B2967,2,FALSE)</f>
        <v/>
      </c>
    </row>
    <row r="445">
      <c r="A445" t="inlineStr">
        <is>
          <t xml:space="preserve">home </t>
        </is>
      </c>
      <c r="B445">
        <f>VLOOKUP(1775,Requirements!A2:B2967,2,FALSE)</f>
        <v/>
      </c>
    </row>
    <row r="446">
      <c r="A446" t="inlineStr">
        <is>
          <t xml:space="preserve">home </t>
        </is>
      </c>
      <c r="B446">
        <f>VLOOKUP(1784,Requirements!A2:B2967,2,FALSE)</f>
        <v/>
      </c>
    </row>
    <row r="447">
      <c r="A447" t="inlineStr">
        <is>
          <t xml:space="preserve">home </t>
        </is>
      </c>
      <c r="B447">
        <f>VLOOKUP(1788,Requirements!A2:B2967,2,FALSE)</f>
        <v/>
      </c>
    </row>
    <row r="448">
      <c r="A448" t="inlineStr">
        <is>
          <t xml:space="preserve">home </t>
        </is>
      </c>
      <c r="B448">
        <f>VLOOKUP(1792,Requirements!A2:B2967,2,FALSE)</f>
        <v/>
      </c>
    </row>
    <row r="449">
      <c r="A449" t="inlineStr">
        <is>
          <t xml:space="preserve">home </t>
        </is>
      </c>
      <c r="B449">
        <f>VLOOKUP(1794,Requirements!A2:B2967,2,FALSE)</f>
        <v/>
      </c>
    </row>
    <row r="450">
      <c r="A450" t="inlineStr">
        <is>
          <t xml:space="preserve">home </t>
        </is>
      </c>
      <c r="B450">
        <f>VLOOKUP(1797,Requirements!A2:B2967,2,FALSE)</f>
        <v/>
      </c>
    </row>
    <row r="451">
      <c r="A451" t="inlineStr">
        <is>
          <t xml:space="preserve">home </t>
        </is>
      </c>
      <c r="B451">
        <f>VLOOKUP(1800,Requirements!A2:B2967,2,FALSE)</f>
        <v/>
      </c>
    </row>
    <row r="452">
      <c r="A452" t="inlineStr">
        <is>
          <t xml:space="preserve">home </t>
        </is>
      </c>
      <c r="B452">
        <f>VLOOKUP(1803,Requirements!A2:B2967,2,FALSE)</f>
        <v/>
      </c>
    </row>
    <row r="453">
      <c r="A453" t="inlineStr">
        <is>
          <t xml:space="preserve">home </t>
        </is>
      </c>
      <c r="B453">
        <f>VLOOKUP(1804,Requirements!A2:B2967,2,FALSE)</f>
        <v/>
      </c>
    </row>
    <row r="454">
      <c r="A454" t="inlineStr">
        <is>
          <t xml:space="preserve">home </t>
        </is>
      </c>
      <c r="B454">
        <f>VLOOKUP(1806,Requirements!A2:B2967,2,FALSE)</f>
        <v/>
      </c>
    </row>
    <row r="455">
      <c r="A455" t="inlineStr">
        <is>
          <t xml:space="preserve">home </t>
        </is>
      </c>
      <c r="B455">
        <f>VLOOKUP(1807,Requirements!A2:B2967,2,FALSE)</f>
        <v/>
      </c>
    </row>
    <row r="456">
      <c r="A456" t="inlineStr">
        <is>
          <t xml:space="preserve">home </t>
        </is>
      </c>
      <c r="B456">
        <f>VLOOKUP(1808,Requirements!A2:B2967,2,FALSE)</f>
        <v/>
      </c>
    </row>
    <row r="457">
      <c r="A457" t="inlineStr">
        <is>
          <t xml:space="preserve">home </t>
        </is>
      </c>
      <c r="B457">
        <f>VLOOKUP(1809,Requirements!A2:B2967,2,FALSE)</f>
        <v/>
      </c>
    </row>
    <row r="458">
      <c r="A458" t="inlineStr">
        <is>
          <t xml:space="preserve">home </t>
        </is>
      </c>
      <c r="B458">
        <f>VLOOKUP(1810,Requirements!A2:B2967,2,FALSE)</f>
        <v/>
      </c>
    </row>
    <row r="459">
      <c r="A459" t="inlineStr">
        <is>
          <t xml:space="preserve">home </t>
        </is>
      </c>
      <c r="B459">
        <f>VLOOKUP(1814,Requirements!A2:B2967,2,FALSE)</f>
        <v/>
      </c>
    </row>
    <row r="460">
      <c r="A460" t="inlineStr">
        <is>
          <t xml:space="preserve">home </t>
        </is>
      </c>
      <c r="B460">
        <f>VLOOKUP(1816,Requirements!A2:B2967,2,FALSE)</f>
        <v/>
      </c>
    </row>
    <row r="461">
      <c r="A461" t="inlineStr">
        <is>
          <t xml:space="preserve">home </t>
        </is>
      </c>
      <c r="B461">
        <f>VLOOKUP(1817,Requirements!A2:B2967,2,FALSE)</f>
        <v/>
      </c>
    </row>
    <row r="462">
      <c r="A462" t="inlineStr">
        <is>
          <t xml:space="preserve">home </t>
        </is>
      </c>
      <c r="B462">
        <f>VLOOKUP(1819,Requirements!A2:B2967,2,FALSE)</f>
        <v/>
      </c>
    </row>
    <row r="463">
      <c r="A463" t="inlineStr">
        <is>
          <t xml:space="preserve">home </t>
        </is>
      </c>
      <c r="B463">
        <f>VLOOKUP(1821,Requirements!A2:B2967,2,FALSE)</f>
        <v/>
      </c>
    </row>
    <row r="464">
      <c r="A464" t="inlineStr">
        <is>
          <t xml:space="preserve">home </t>
        </is>
      </c>
      <c r="B464">
        <f>VLOOKUP(1826,Requirements!A2:B2967,2,FALSE)</f>
        <v/>
      </c>
    </row>
    <row r="465">
      <c r="A465" t="inlineStr">
        <is>
          <t xml:space="preserve">home </t>
        </is>
      </c>
      <c r="B465">
        <f>VLOOKUP(1827,Requirements!A2:B2967,2,FALSE)</f>
        <v/>
      </c>
    </row>
    <row r="466">
      <c r="A466" t="inlineStr">
        <is>
          <t xml:space="preserve">home </t>
        </is>
      </c>
      <c r="B466">
        <f>VLOOKUP(1830,Requirements!A2:B2967,2,FALSE)</f>
        <v/>
      </c>
    </row>
    <row r="467">
      <c r="A467" t="inlineStr">
        <is>
          <t xml:space="preserve">home </t>
        </is>
      </c>
      <c r="B467">
        <f>VLOOKUP(1832,Requirements!A2:B2967,2,FALSE)</f>
        <v/>
      </c>
    </row>
    <row r="468">
      <c r="A468" t="inlineStr">
        <is>
          <t xml:space="preserve">home </t>
        </is>
      </c>
      <c r="B468">
        <f>VLOOKUP(1852,Requirements!A2:B2967,2,FALSE)</f>
        <v/>
      </c>
    </row>
    <row r="469">
      <c r="A469" t="inlineStr">
        <is>
          <t xml:space="preserve">home </t>
        </is>
      </c>
      <c r="B469">
        <f>VLOOKUP(1864,Requirements!A2:B2967,2,FALSE)</f>
        <v/>
      </c>
    </row>
    <row r="470">
      <c r="A470" t="inlineStr">
        <is>
          <t xml:space="preserve">home </t>
        </is>
      </c>
      <c r="B470">
        <f>VLOOKUP(1870,Requirements!A2:B2967,2,FALSE)</f>
        <v/>
      </c>
    </row>
    <row r="471">
      <c r="A471" t="inlineStr">
        <is>
          <t xml:space="preserve">home </t>
        </is>
      </c>
      <c r="B471">
        <f>VLOOKUP(1873,Requirements!A2:B2967,2,FALSE)</f>
        <v/>
      </c>
    </row>
    <row r="472">
      <c r="A472" t="inlineStr">
        <is>
          <t xml:space="preserve">home </t>
        </is>
      </c>
      <c r="B472">
        <f>VLOOKUP(1875,Requirements!A2:B2967,2,FALSE)</f>
        <v/>
      </c>
    </row>
    <row r="473">
      <c r="A473" t="inlineStr">
        <is>
          <t xml:space="preserve">home </t>
        </is>
      </c>
      <c r="B473">
        <f>VLOOKUP(1889,Requirements!A2:B2967,2,FALSE)</f>
        <v/>
      </c>
    </row>
    <row r="474">
      <c r="A474" t="inlineStr">
        <is>
          <t xml:space="preserve">home </t>
        </is>
      </c>
      <c r="B474">
        <f>VLOOKUP(1894,Requirements!A2:B2967,2,FALSE)</f>
        <v/>
      </c>
    </row>
    <row r="475">
      <c r="A475" t="inlineStr">
        <is>
          <t xml:space="preserve">home </t>
        </is>
      </c>
      <c r="B475">
        <f>VLOOKUP(1899,Requirements!A2:B2967,2,FALSE)</f>
        <v/>
      </c>
    </row>
    <row r="476">
      <c r="A476" t="inlineStr">
        <is>
          <t xml:space="preserve">home </t>
        </is>
      </c>
      <c r="B476">
        <f>VLOOKUP(1909,Requirements!A2:B2967,2,FALSE)</f>
        <v/>
      </c>
    </row>
    <row r="477">
      <c r="A477" t="inlineStr">
        <is>
          <t xml:space="preserve">home </t>
        </is>
      </c>
      <c r="B477">
        <f>VLOOKUP(1912,Requirements!A2:B2967,2,FALSE)</f>
        <v/>
      </c>
    </row>
    <row r="478">
      <c r="A478" t="inlineStr">
        <is>
          <t xml:space="preserve">home </t>
        </is>
      </c>
      <c r="B478">
        <f>VLOOKUP(1913,Requirements!A2:B2967,2,FALSE)</f>
        <v/>
      </c>
    </row>
    <row r="479">
      <c r="A479" t="inlineStr">
        <is>
          <t xml:space="preserve">home </t>
        </is>
      </c>
      <c r="B479">
        <f>VLOOKUP(1915,Requirements!A2:B2967,2,FALSE)</f>
        <v/>
      </c>
    </row>
    <row r="480">
      <c r="A480" t="inlineStr">
        <is>
          <t xml:space="preserve">home </t>
        </is>
      </c>
      <c r="B480">
        <f>VLOOKUP(1916,Requirements!A2:B2967,2,FALSE)</f>
        <v/>
      </c>
    </row>
    <row r="481">
      <c r="A481" t="inlineStr">
        <is>
          <t xml:space="preserve">home </t>
        </is>
      </c>
      <c r="B481">
        <f>VLOOKUP(1918,Requirements!A2:B2967,2,FALSE)</f>
        <v/>
      </c>
    </row>
    <row r="482">
      <c r="A482" t="inlineStr">
        <is>
          <t xml:space="preserve">home </t>
        </is>
      </c>
      <c r="B482">
        <f>VLOOKUP(1919,Requirements!A2:B2967,2,FALSE)</f>
        <v/>
      </c>
    </row>
    <row r="483">
      <c r="A483" t="inlineStr">
        <is>
          <t xml:space="preserve">home </t>
        </is>
      </c>
      <c r="B483">
        <f>VLOOKUP(1931,Requirements!A2:B2967,2,FALSE)</f>
        <v/>
      </c>
    </row>
    <row r="484">
      <c r="A484" t="inlineStr">
        <is>
          <t xml:space="preserve">home </t>
        </is>
      </c>
      <c r="B484">
        <f>VLOOKUP(1938,Requirements!A2:B2967,2,FALSE)</f>
        <v/>
      </c>
    </row>
    <row r="485">
      <c r="A485" t="inlineStr">
        <is>
          <t xml:space="preserve">home </t>
        </is>
      </c>
      <c r="B485">
        <f>VLOOKUP(1941,Requirements!A2:B2967,2,FALSE)</f>
        <v/>
      </c>
    </row>
    <row r="486">
      <c r="A486" t="inlineStr">
        <is>
          <t xml:space="preserve">home </t>
        </is>
      </c>
      <c r="B486">
        <f>VLOOKUP(1942,Requirements!A2:B2967,2,FALSE)</f>
        <v/>
      </c>
    </row>
    <row r="487">
      <c r="A487" t="inlineStr">
        <is>
          <t xml:space="preserve">home </t>
        </is>
      </c>
      <c r="B487">
        <f>VLOOKUP(1943,Requirements!A2:B2967,2,FALSE)</f>
        <v/>
      </c>
    </row>
    <row r="488">
      <c r="A488" t="inlineStr">
        <is>
          <t xml:space="preserve">home </t>
        </is>
      </c>
      <c r="B488">
        <f>VLOOKUP(1945,Requirements!A2:B2967,2,FALSE)</f>
        <v/>
      </c>
    </row>
    <row r="489">
      <c r="A489" t="inlineStr">
        <is>
          <t xml:space="preserve">home </t>
        </is>
      </c>
      <c r="B489">
        <f>VLOOKUP(1946,Requirements!A2:B2967,2,FALSE)</f>
        <v/>
      </c>
    </row>
    <row r="490">
      <c r="A490" t="inlineStr">
        <is>
          <t xml:space="preserve">home </t>
        </is>
      </c>
      <c r="B490">
        <f>VLOOKUP(1948,Requirements!A2:B2967,2,FALSE)</f>
        <v/>
      </c>
    </row>
    <row r="491">
      <c r="A491" t="inlineStr">
        <is>
          <t xml:space="preserve">home </t>
        </is>
      </c>
      <c r="B491">
        <f>VLOOKUP(1950,Requirements!A2:B2967,2,FALSE)</f>
        <v/>
      </c>
    </row>
    <row r="492">
      <c r="A492" t="inlineStr">
        <is>
          <t xml:space="preserve">home </t>
        </is>
      </c>
      <c r="B492">
        <f>VLOOKUP(1951,Requirements!A2:B2967,2,FALSE)</f>
        <v/>
      </c>
    </row>
    <row r="493">
      <c r="A493" t="inlineStr">
        <is>
          <t xml:space="preserve">home </t>
        </is>
      </c>
      <c r="B493">
        <f>VLOOKUP(1952,Requirements!A2:B2967,2,FALSE)</f>
        <v/>
      </c>
    </row>
    <row r="494">
      <c r="A494" t="inlineStr">
        <is>
          <t xml:space="preserve">home </t>
        </is>
      </c>
      <c r="B494">
        <f>VLOOKUP(1953,Requirements!A2:B2967,2,FALSE)</f>
        <v/>
      </c>
    </row>
    <row r="495">
      <c r="A495" t="inlineStr">
        <is>
          <t xml:space="preserve">home </t>
        </is>
      </c>
      <c r="B495">
        <f>VLOOKUP(1954,Requirements!A2:B2967,2,FALSE)</f>
        <v/>
      </c>
    </row>
    <row r="496">
      <c r="A496" t="inlineStr">
        <is>
          <t xml:space="preserve">home </t>
        </is>
      </c>
      <c r="B496">
        <f>VLOOKUP(1958,Requirements!A2:B2967,2,FALSE)</f>
        <v/>
      </c>
    </row>
    <row r="497">
      <c r="A497" t="inlineStr">
        <is>
          <t xml:space="preserve">home </t>
        </is>
      </c>
      <c r="B497">
        <f>VLOOKUP(1967,Requirements!A2:B2967,2,FALSE)</f>
        <v/>
      </c>
    </row>
    <row r="498">
      <c r="A498" t="inlineStr">
        <is>
          <t xml:space="preserve">home </t>
        </is>
      </c>
      <c r="B498">
        <f>VLOOKUP(1988,Requirements!A2:B2967,2,FALSE)</f>
        <v/>
      </c>
    </row>
    <row r="499">
      <c r="A499" t="inlineStr">
        <is>
          <t xml:space="preserve">home </t>
        </is>
      </c>
      <c r="B499">
        <f>VLOOKUP(1993,Requirements!A2:B2967,2,FALSE)</f>
        <v/>
      </c>
    </row>
    <row r="500">
      <c r="A500" t="inlineStr">
        <is>
          <t xml:space="preserve">home </t>
        </is>
      </c>
      <c r="B500">
        <f>VLOOKUP(2000,Requirements!A2:B2967,2,FALSE)</f>
        <v/>
      </c>
    </row>
    <row r="501">
      <c r="A501" t="inlineStr">
        <is>
          <t xml:space="preserve">home </t>
        </is>
      </c>
      <c r="B501">
        <f>VLOOKUP(2004,Requirements!A2:B2967,2,FALSE)</f>
        <v/>
      </c>
    </row>
    <row r="502">
      <c r="A502" t="inlineStr">
        <is>
          <t xml:space="preserve">home </t>
        </is>
      </c>
      <c r="B502">
        <f>VLOOKUP(2008,Requirements!A2:B2967,2,FALSE)</f>
        <v/>
      </c>
    </row>
    <row r="503">
      <c r="A503" t="inlineStr">
        <is>
          <t xml:space="preserve">home </t>
        </is>
      </c>
      <c r="B503">
        <f>VLOOKUP(2012,Requirements!A2:B2967,2,FALSE)</f>
        <v/>
      </c>
    </row>
    <row r="504">
      <c r="A504" t="inlineStr">
        <is>
          <t xml:space="preserve">home </t>
        </is>
      </c>
      <c r="B504">
        <f>VLOOKUP(2015,Requirements!A2:B2967,2,FALSE)</f>
        <v/>
      </c>
    </row>
    <row r="505">
      <c r="A505" t="inlineStr">
        <is>
          <t xml:space="preserve">home </t>
        </is>
      </c>
      <c r="B505">
        <f>VLOOKUP(2017,Requirements!A2:B2967,2,FALSE)</f>
        <v/>
      </c>
    </row>
    <row r="506">
      <c r="A506" t="inlineStr">
        <is>
          <t xml:space="preserve">home </t>
        </is>
      </c>
      <c r="B506">
        <f>VLOOKUP(2028,Requirements!A2:B2967,2,FALSE)</f>
        <v/>
      </c>
    </row>
    <row r="507">
      <c r="A507" t="inlineStr">
        <is>
          <t xml:space="preserve">home </t>
        </is>
      </c>
      <c r="B507">
        <f>VLOOKUP(2033,Requirements!A2:B2967,2,FALSE)</f>
        <v/>
      </c>
    </row>
    <row r="508">
      <c r="A508" t="inlineStr">
        <is>
          <t xml:space="preserve">home </t>
        </is>
      </c>
      <c r="B508">
        <f>VLOOKUP(2040,Requirements!A2:B2967,2,FALSE)</f>
        <v/>
      </c>
    </row>
    <row r="509">
      <c r="A509" t="inlineStr">
        <is>
          <t xml:space="preserve">home </t>
        </is>
      </c>
      <c r="B509">
        <f>VLOOKUP(2048,Requirements!A2:B2967,2,FALSE)</f>
        <v/>
      </c>
    </row>
    <row r="510">
      <c r="A510" t="inlineStr">
        <is>
          <t xml:space="preserve">home </t>
        </is>
      </c>
      <c r="B510">
        <f>VLOOKUP(2057,Requirements!A2:B2967,2,FALSE)</f>
        <v/>
      </c>
    </row>
    <row r="511">
      <c r="A511" t="inlineStr">
        <is>
          <t xml:space="preserve">home </t>
        </is>
      </c>
      <c r="B511">
        <f>VLOOKUP(2061,Requirements!A2:B2967,2,FALSE)</f>
        <v/>
      </c>
    </row>
    <row r="512">
      <c r="A512" t="inlineStr">
        <is>
          <t xml:space="preserve">home </t>
        </is>
      </c>
      <c r="B512">
        <f>VLOOKUP(2062,Requirements!A2:B2967,2,FALSE)</f>
        <v/>
      </c>
    </row>
    <row r="513">
      <c r="A513" t="inlineStr">
        <is>
          <t xml:space="preserve">home </t>
        </is>
      </c>
      <c r="B513">
        <f>VLOOKUP(2064,Requirements!A2:B2967,2,FALSE)</f>
        <v/>
      </c>
    </row>
    <row r="514">
      <c r="A514" t="inlineStr">
        <is>
          <t xml:space="preserve">home </t>
        </is>
      </c>
      <c r="B514">
        <f>VLOOKUP(2065,Requirements!A2:B2967,2,FALSE)</f>
        <v/>
      </c>
    </row>
    <row r="515">
      <c r="A515" t="inlineStr">
        <is>
          <t xml:space="preserve">home </t>
        </is>
      </c>
      <c r="B515">
        <f>VLOOKUP(2067,Requirements!A2:B2967,2,FALSE)</f>
        <v/>
      </c>
    </row>
    <row r="516">
      <c r="A516" t="inlineStr">
        <is>
          <t xml:space="preserve">home </t>
        </is>
      </c>
      <c r="B516">
        <f>VLOOKUP(2069,Requirements!A2:B2967,2,FALSE)</f>
        <v/>
      </c>
    </row>
    <row r="517">
      <c r="A517" t="inlineStr">
        <is>
          <t xml:space="preserve">home </t>
        </is>
      </c>
      <c r="B517">
        <f>VLOOKUP(2070,Requirements!A2:B2967,2,FALSE)</f>
        <v/>
      </c>
    </row>
    <row r="518">
      <c r="A518" t="inlineStr">
        <is>
          <t xml:space="preserve">home </t>
        </is>
      </c>
      <c r="B518">
        <f>VLOOKUP(2073,Requirements!A2:B2967,2,FALSE)</f>
        <v/>
      </c>
    </row>
    <row r="519">
      <c r="A519" t="inlineStr">
        <is>
          <t xml:space="preserve">home </t>
        </is>
      </c>
      <c r="B519">
        <f>VLOOKUP(2079,Requirements!A2:B2967,2,FALSE)</f>
        <v/>
      </c>
    </row>
    <row r="520">
      <c r="A520" t="inlineStr">
        <is>
          <t xml:space="preserve">home </t>
        </is>
      </c>
      <c r="B520">
        <f>VLOOKUP(2085,Requirements!A2:B2967,2,FALSE)</f>
        <v/>
      </c>
    </row>
    <row r="521">
      <c r="A521" t="inlineStr">
        <is>
          <t xml:space="preserve">home </t>
        </is>
      </c>
      <c r="B521">
        <f>VLOOKUP(2088,Requirements!A2:B2967,2,FALSE)</f>
        <v/>
      </c>
    </row>
    <row r="522">
      <c r="A522" t="inlineStr">
        <is>
          <t xml:space="preserve">home </t>
        </is>
      </c>
      <c r="B522">
        <f>VLOOKUP(2098,Requirements!A2:B2967,2,FALSE)</f>
        <v/>
      </c>
    </row>
    <row r="523">
      <c r="A523" t="inlineStr">
        <is>
          <t xml:space="preserve">home </t>
        </is>
      </c>
      <c r="B523">
        <f>VLOOKUP(2100,Requirements!A2:B2967,2,FALSE)</f>
        <v/>
      </c>
    </row>
    <row r="524">
      <c r="A524" t="inlineStr">
        <is>
          <t xml:space="preserve">home </t>
        </is>
      </c>
      <c r="B524">
        <f>VLOOKUP(2108,Requirements!A2:B2967,2,FALSE)</f>
        <v/>
      </c>
    </row>
    <row r="525">
      <c r="A525" t="inlineStr">
        <is>
          <t xml:space="preserve">home </t>
        </is>
      </c>
      <c r="B525">
        <f>VLOOKUP(2112,Requirements!A2:B2967,2,FALSE)</f>
        <v/>
      </c>
    </row>
    <row r="526">
      <c r="A526" t="inlineStr">
        <is>
          <t xml:space="preserve">home </t>
        </is>
      </c>
      <c r="B526">
        <f>VLOOKUP(2115,Requirements!A2:B2967,2,FALSE)</f>
        <v/>
      </c>
    </row>
    <row r="527">
      <c r="A527" t="inlineStr">
        <is>
          <t xml:space="preserve">home </t>
        </is>
      </c>
      <c r="B527">
        <f>VLOOKUP(2116,Requirements!A2:B2967,2,FALSE)</f>
        <v/>
      </c>
    </row>
    <row r="528">
      <c r="A528" t="inlineStr">
        <is>
          <t xml:space="preserve">home </t>
        </is>
      </c>
      <c r="B528">
        <f>VLOOKUP(2119,Requirements!A2:B2967,2,FALSE)</f>
        <v/>
      </c>
    </row>
    <row r="529">
      <c r="A529" t="inlineStr">
        <is>
          <t xml:space="preserve">home </t>
        </is>
      </c>
      <c r="B529">
        <f>VLOOKUP(2120,Requirements!A2:B2967,2,FALSE)</f>
        <v/>
      </c>
    </row>
    <row r="530">
      <c r="A530" t="inlineStr">
        <is>
          <t xml:space="preserve">home </t>
        </is>
      </c>
      <c r="B530">
        <f>VLOOKUP(2121,Requirements!A2:B2967,2,FALSE)</f>
        <v/>
      </c>
    </row>
    <row r="531">
      <c r="A531" t="inlineStr">
        <is>
          <t xml:space="preserve">home </t>
        </is>
      </c>
      <c r="B531">
        <f>VLOOKUP(2130,Requirements!A2:B2967,2,FALSE)</f>
        <v/>
      </c>
    </row>
    <row r="532">
      <c r="A532" t="inlineStr">
        <is>
          <t xml:space="preserve">home </t>
        </is>
      </c>
      <c r="B532">
        <f>VLOOKUP(2132,Requirements!A2:B2967,2,FALSE)</f>
        <v/>
      </c>
    </row>
    <row r="533">
      <c r="A533" t="inlineStr">
        <is>
          <t xml:space="preserve">home </t>
        </is>
      </c>
      <c r="B533">
        <f>VLOOKUP(2138,Requirements!A2:B2967,2,FALSE)</f>
        <v/>
      </c>
    </row>
    <row r="534">
      <c r="A534" t="inlineStr">
        <is>
          <t xml:space="preserve">home </t>
        </is>
      </c>
      <c r="B534">
        <f>VLOOKUP(2139,Requirements!A2:B2967,2,FALSE)</f>
        <v/>
      </c>
    </row>
    <row r="535">
      <c r="A535" t="inlineStr">
        <is>
          <t xml:space="preserve">home </t>
        </is>
      </c>
      <c r="B535">
        <f>VLOOKUP(2161,Requirements!A2:B2967,2,FALSE)</f>
        <v/>
      </c>
    </row>
    <row r="536">
      <c r="A536" t="inlineStr">
        <is>
          <t xml:space="preserve">home </t>
        </is>
      </c>
      <c r="B536">
        <f>VLOOKUP(2176,Requirements!A2:B2967,2,FALSE)</f>
        <v/>
      </c>
    </row>
    <row r="537">
      <c r="A537" t="inlineStr">
        <is>
          <t xml:space="preserve">home </t>
        </is>
      </c>
      <c r="B537">
        <f>VLOOKUP(2178,Requirements!A2:B2967,2,FALSE)</f>
        <v/>
      </c>
    </row>
    <row r="538">
      <c r="A538" t="inlineStr">
        <is>
          <t xml:space="preserve">home </t>
        </is>
      </c>
      <c r="B538">
        <f>VLOOKUP(2197,Requirements!A2:B2967,2,FALSE)</f>
        <v/>
      </c>
    </row>
    <row r="539">
      <c r="A539" t="inlineStr">
        <is>
          <t xml:space="preserve">home </t>
        </is>
      </c>
      <c r="B539">
        <f>VLOOKUP(2204,Requirements!A2:B2967,2,FALSE)</f>
        <v/>
      </c>
    </row>
    <row r="540">
      <c r="A540" t="inlineStr">
        <is>
          <t xml:space="preserve">home </t>
        </is>
      </c>
      <c r="B540">
        <f>VLOOKUP(2210,Requirements!A2:B2967,2,FALSE)</f>
        <v/>
      </c>
    </row>
    <row r="541">
      <c r="A541" t="inlineStr">
        <is>
          <t xml:space="preserve">home </t>
        </is>
      </c>
      <c r="B541">
        <f>VLOOKUP(2212,Requirements!A2:B2967,2,FALSE)</f>
        <v/>
      </c>
    </row>
    <row r="542">
      <c r="A542" t="inlineStr">
        <is>
          <t xml:space="preserve">home </t>
        </is>
      </c>
      <c r="B542">
        <f>VLOOKUP(2214,Requirements!A2:B2967,2,FALSE)</f>
        <v/>
      </c>
    </row>
    <row r="543">
      <c r="A543" t="inlineStr">
        <is>
          <t xml:space="preserve">home </t>
        </is>
      </c>
      <c r="B543">
        <f>VLOOKUP(2216,Requirements!A2:B2967,2,FALSE)</f>
        <v/>
      </c>
    </row>
    <row r="544">
      <c r="A544" t="inlineStr">
        <is>
          <t xml:space="preserve">home </t>
        </is>
      </c>
      <c r="B544">
        <f>VLOOKUP(2219,Requirements!A2:B2967,2,FALSE)</f>
        <v/>
      </c>
    </row>
    <row r="545">
      <c r="A545" t="inlineStr">
        <is>
          <t xml:space="preserve">home </t>
        </is>
      </c>
      <c r="B545">
        <f>VLOOKUP(2223,Requirements!A2:B2967,2,FALSE)</f>
        <v/>
      </c>
    </row>
    <row r="546">
      <c r="A546" t="inlineStr">
        <is>
          <t xml:space="preserve">home </t>
        </is>
      </c>
      <c r="B546">
        <f>VLOOKUP(2228,Requirements!A2:B2967,2,FALSE)</f>
        <v/>
      </c>
    </row>
    <row r="547">
      <c r="A547" t="inlineStr">
        <is>
          <t xml:space="preserve">home </t>
        </is>
      </c>
      <c r="B547">
        <f>VLOOKUP(2230,Requirements!A2:B2967,2,FALSE)</f>
        <v/>
      </c>
    </row>
    <row r="548">
      <c r="A548" t="inlineStr">
        <is>
          <t xml:space="preserve">home </t>
        </is>
      </c>
      <c r="B548">
        <f>VLOOKUP(2234,Requirements!A2:B2967,2,FALSE)</f>
        <v/>
      </c>
    </row>
    <row r="549">
      <c r="A549" t="inlineStr">
        <is>
          <t xml:space="preserve">home </t>
        </is>
      </c>
      <c r="B549">
        <f>VLOOKUP(2238,Requirements!A2:B2967,2,FALSE)</f>
        <v/>
      </c>
    </row>
    <row r="550">
      <c r="A550" t="inlineStr">
        <is>
          <t xml:space="preserve">home </t>
        </is>
      </c>
      <c r="B550">
        <f>VLOOKUP(2244,Requirements!A2:B2967,2,FALSE)</f>
        <v/>
      </c>
    </row>
    <row r="551">
      <c r="A551" t="inlineStr">
        <is>
          <t xml:space="preserve">home </t>
        </is>
      </c>
      <c r="B551">
        <f>VLOOKUP(2249,Requirements!A2:B2967,2,FALSE)</f>
        <v/>
      </c>
    </row>
    <row r="552">
      <c r="A552" t="inlineStr">
        <is>
          <t xml:space="preserve">home </t>
        </is>
      </c>
      <c r="B552">
        <f>VLOOKUP(2253,Requirements!A2:B2967,2,FALSE)</f>
        <v/>
      </c>
    </row>
    <row r="553">
      <c r="A553" t="inlineStr">
        <is>
          <t xml:space="preserve">home </t>
        </is>
      </c>
      <c r="B553">
        <f>VLOOKUP(2258,Requirements!A2:B2967,2,FALSE)</f>
        <v/>
      </c>
    </row>
    <row r="554">
      <c r="A554" t="inlineStr">
        <is>
          <t xml:space="preserve">home </t>
        </is>
      </c>
      <c r="B554">
        <f>VLOOKUP(2261,Requirements!A2:B2967,2,FALSE)</f>
        <v/>
      </c>
    </row>
    <row r="555">
      <c r="A555" t="inlineStr">
        <is>
          <t xml:space="preserve">home </t>
        </is>
      </c>
      <c r="B555">
        <f>VLOOKUP(2269,Requirements!A2:B2967,2,FALSE)</f>
        <v/>
      </c>
    </row>
    <row r="556">
      <c r="A556" t="inlineStr">
        <is>
          <t xml:space="preserve">home </t>
        </is>
      </c>
      <c r="B556">
        <f>VLOOKUP(2272,Requirements!A2:B2967,2,FALSE)</f>
        <v/>
      </c>
    </row>
    <row r="557">
      <c r="A557" t="inlineStr">
        <is>
          <t xml:space="preserve">home </t>
        </is>
      </c>
      <c r="B557">
        <f>VLOOKUP(2275,Requirements!A2:B2967,2,FALSE)</f>
        <v/>
      </c>
    </row>
    <row r="558">
      <c r="A558" t="inlineStr">
        <is>
          <t xml:space="preserve">home </t>
        </is>
      </c>
      <c r="B558">
        <f>VLOOKUP(2280,Requirements!A2:B2967,2,FALSE)</f>
        <v/>
      </c>
    </row>
    <row r="559">
      <c r="A559" t="inlineStr">
        <is>
          <t xml:space="preserve">home </t>
        </is>
      </c>
      <c r="B559">
        <f>VLOOKUP(2281,Requirements!A2:B2967,2,FALSE)</f>
        <v/>
      </c>
    </row>
    <row r="560">
      <c r="A560" t="inlineStr">
        <is>
          <t xml:space="preserve">home </t>
        </is>
      </c>
      <c r="B560">
        <f>VLOOKUP(2286,Requirements!A2:B2967,2,FALSE)</f>
        <v/>
      </c>
    </row>
    <row r="561">
      <c r="A561" t="inlineStr">
        <is>
          <t xml:space="preserve">home </t>
        </is>
      </c>
      <c r="B561">
        <f>VLOOKUP(2288,Requirements!A2:B2967,2,FALSE)</f>
        <v/>
      </c>
    </row>
    <row r="562">
      <c r="A562" t="inlineStr">
        <is>
          <t xml:space="preserve">home </t>
        </is>
      </c>
      <c r="B562">
        <f>VLOOKUP(2290,Requirements!A2:B2967,2,FALSE)</f>
        <v/>
      </c>
    </row>
    <row r="563">
      <c r="A563" t="inlineStr">
        <is>
          <t xml:space="preserve">home </t>
        </is>
      </c>
      <c r="B563">
        <f>VLOOKUP(2304,Requirements!A2:B2967,2,FALSE)</f>
        <v/>
      </c>
    </row>
    <row r="564">
      <c r="A564" t="inlineStr">
        <is>
          <t xml:space="preserve">home </t>
        </is>
      </c>
      <c r="B564">
        <f>VLOOKUP(2321,Requirements!A2:B2967,2,FALSE)</f>
        <v/>
      </c>
    </row>
    <row r="565">
      <c r="A565" t="inlineStr">
        <is>
          <t xml:space="preserve">home </t>
        </is>
      </c>
      <c r="B565">
        <f>VLOOKUP(2336,Requirements!A2:B2967,2,FALSE)</f>
        <v/>
      </c>
    </row>
    <row r="566">
      <c r="A566" t="inlineStr">
        <is>
          <t xml:space="preserve">home </t>
        </is>
      </c>
      <c r="B566">
        <f>VLOOKUP(2346,Requirements!A2:B2967,2,FALSE)</f>
        <v/>
      </c>
    </row>
    <row r="567">
      <c r="A567" t="inlineStr">
        <is>
          <t xml:space="preserve">home </t>
        </is>
      </c>
      <c r="B567">
        <f>VLOOKUP(2358,Requirements!A2:B2967,2,FALSE)</f>
        <v/>
      </c>
    </row>
    <row r="568">
      <c r="A568" t="inlineStr">
        <is>
          <t xml:space="preserve">home </t>
        </is>
      </c>
      <c r="B568">
        <f>VLOOKUP(2363,Requirements!A2:B2967,2,FALSE)</f>
        <v/>
      </c>
    </row>
    <row r="569">
      <c r="A569" t="inlineStr">
        <is>
          <t xml:space="preserve">home </t>
        </is>
      </c>
      <c r="B569">
        <f>VLOOKUP(2365,Requirements!A2:B2967,2,FALSE)</f>
        <v/>
      </c>
    </row>
    <row r="570">
      <c r="A570" t="inlineStr">
        <is>
          <t xml:space="preserve">home </t>
        </is>
      </c>
      <c r="B570">
        <f>VLOOKUP(2367,Requirements!A2:B2967,2,FALSE)</f>
        <v/>
      </c>
    </row>
    <row r="571">
      <c r="A571" t="inlineStr">
        <is>
          <t xml:space="preserve">home </t>
        </is>
      </c>
      <c r="B571">
        <f>VLOOKUP(2376,Requirements!A2:B2967,2,FALSE)</f>
        <v/>
      </c>
    </row>
    <row r="572">
      <c r="A572" t="inlineStr">
        <is>
          <t xml:space="preserve">home </t>
        </is>
      </c>
      <c r="B572">
        <f>VLOOKUP(2390,Requirements!A2:B2967,2,FALSE)</f>
        <v/>
      </c>
    </row>
    <row r="573">
      <c r="A573" t="inlineStr">
        <is>
          <t xml:space="preserve">home </t>
        </is>
      </c>
      <c r="B573">
        <f>VLOOKUP(2392,Requirements!A2:B2967,2,FALSE)</f>
        <v/>
      </c>
    </row>
    <row r="574">
      <c r="A574" t="inlineStr">
        <is>
          <t xml:space="preserve">home </t>
        </is>
      </c>
      <c r="B574">
        <f>VLOOKUP(2393,Requirements!A2:B2967,2,FALSE)</f>
        <v/>
      </c>
    </row>
    <row r="575">
      <c r="A575" t="inlineStr">
        <is>
          <t xml:space="preserve">home </t>
        </is>
      </c>
      <c r="B575">
        <f>VLOOKUP(2395,Requirements!A2:B2967,2,FALSE)</f>
        <v/>
      </c>
    </row>
    <row r="576">
      <c r="A576" t="inlineStr">
        <is>
          <t xml:space="preserve">home </t>
        </is>
      </c>
      <c r="B576">
        <f>VLOOKUP(2396,Requirements!A2:B2967,2,FALSE)</f>
        <v/>
      </c>
    </row>
    <row r="577">
      <c r="A577" t="inlineStr">
        <is>
          <t xml:space="preserve">home </t>
        </is>
      </c>
      <c r="B577">
        <f>VLOOKUP(2397,Requirements!A2:B2967,2,FALSE)</f>
        <v/>
      </c>
    </row>
    <row r="578">
      <c r="A578" t="inlineStr">
        <is>
          <t xml:space="preserve">home </t>
        </is>
      </c>
      <c r="B578">
        <f>VLOOKUP(2398,Requirements!A2:B2967,2,FALSE)</f>
        <v/>
      </c>
    </row>
    <row r="579">
      <c r="A579" t="inlineStr">
        <is>
          <t xml:space="preserve">home </t>
        </is>
      </c>
      <c r="B579">
        <f>VLOOKUP(2399,Requirements!A2:B2967,2,FALSE)</f>
        <v/>
      </c>
    </row>
    <row r="580">
      <c r="A580" t="inlineStr">
        <is>
          <t xml:space="preserve">home </t>
        </is>
      </c>
      <c r="B580">
        <f>VLOOKUP(2400,Requirements!A2:B2967,2,FALSE)</f>
        <v/>
      </c>
    </row>
    <row r="581">
      <c r="A581" t="inlineStr">
        <is>
          <t xml:space="preserve">home </t>
        </is>
      </c>
      <c r="B581">
        <f>VLOOKUP(2401,Requirements!A2:B2967,2,FALSE)</f>
        <v/>
      </c>
    </row>
    <row r="582">
      <c r="A582" t="inlineStr">
        <is>
          <t xml:space="preserve">home </t>
        </is>
      </c>
      <c r="B582">
        <f>VLOOKUP(2403,Requirements!A2:B2967,2,FALSE)</f>
        <v/>
      </c>
    </row>
    <row r="583">
      <c r="A583" t="inlineStr">
        <is>
          <t xml:space="preserve">home </t>
        </is>
      </c>
      <c r="B583">
        <f>VLOOKUP(2404,Requirements!A2:B2967,2,FALSE)</f>
        <v/>
      </c>
    </row>
    <row r="584">
      <c r="A584" t="inlineStr">
        <is>
          <t xml:space="preserve">home </t>
        </is>
      </c>
      <c r="B584">
        <f>VLOOKUP(2406,Requirements!A2:B2967,2,FALSE)</f>
        <v/>
      </c>
    </row>
    <row r="585">
      <c r="A585" t="inlineStr">
        <is>
          <t xml:space="preserve">home </t>
        </is>
      </c>
      <c r="B585">
        <f>VLOOKUP(2410,Requirements!A2:B2967,2,FALSE)</f>
        <v/>
      </c>
    </row>
    <row r="586">
      <c r="A586" t="inlineStr">
        <is>
          <t xml:space="preserve">home </t>
        </is>
      </c>
      <c r="B586">
        <f>VLOOKUP(2421,Requirements!A2:B2967,2,FALSE)</f>
        <v/>
      </c>
    </row>
    <row r="587">
      <c r="A587" t="inlineStr">
        <is>
          <t xml:space="preserve">home </t>
        </is>
      </c>
      <c r="B587">
        <f>VLOOKUP(2423,Requirements!A2:B2967,2,FALSE)</f>
        <v/>
      </c>
    </row>
    <row r="588">
      <c r="A588" t="inlineStr">
        <is>
          <t xml:space="preserve">home </t>
        </is>
      </c>
      <c r="B588">
        <f>VLOOKUP(2432,Requirements!A2:B2967,2,FALSE)</f>
        <v/>
      </c>
    </row>
    <row r="589">
      <c r="A589" t="inlineStr">
        <is>
          <t xml:space="preserve">home </t>
        </is>
      </c>
      <c r="B589">
        <f>VLOOKUP(2438,Requirements!A2:B2967,2,FALSE)</f>
        <v/>
      </c>
    </row>
    <row r="590">
      <c r="A590" t="inlineStr">
        <is>
          <t xml:space="preserve">home </t>
        </is>
      </c>
      <c r="B590">
        <f>VLOOKUP(2439,Requirements!A2:B2967,2,FALSE)</f>
        <v/>
      </c>
    </row>
    <row r="591">
      <c r="A591" t="inlineStr">
        <is>
          <t xml:space="preserve">home </t>
        </is>
      </c>
      <c r="B591">
        <f>VLOOKUP(2443,Requirements!A2:B2967,2,FALSE)</f>
        <v/>
      </c>
    </row>
    <row r="592">
      <c r="A592" t="inlineStr">
        <is>
          <t xml:space="preserve">home </t>
        </is>
      </c>
      <c r="B592">
        <f>VLOOKUP(2447,Requirements!A2:B2967,2,FALSE)</f>
        <v/>
      </c>
    </row>
    <row r="593">
      <c r="A593" t="inlineStr">
        <is>
          <t xml:space="preserve">home </t>
        </is>
      </c>
      <c r="B593">
        <f>VLOOKUP(2452,Requirements!A2:B2967,2,FALSE)</f>
        <v/>
      </c>
    </row>
    <row r="594">
      <c r="A594" t="inlineStr">
        <is>
          <t xml:space="preserve">home </t>
        </is>
      </c>
      <c r="B594">
        <f>VLOOKUP(2459,Requirements!A2:B2967,2,FALSE)</f>
        <v/>
      </c>
    </row>
    <row r="595">
      <c r="A595" t="inlineStr">
        <is>
          <t xml:space="preserve">home </t>
        </is>
      </c>
      <c r="B595">
        <f>VLOOKUP(2460,Requirements!A2:B2967,2,FALSE)</f>
        <v/>
      </c>
    </row>
    <row r="596">
      <c r="A596" t="inlineStr">
        <is>
          <t xml:space="preserve">home </t>
        </is>
      </c>
      <c r="B596">
        <f>VLOOKUP(2463,Requirements!A2:B2967,2,FALSE)</f>
        <v/>
      </c>
    </row>
    <row r="597">
      <c r="A597" t="inlineStr">
        <is>
          <t xml:space="preserve">home </t>
        </is>
      </c>
      <c r="B597">
        <f>VLOOKUP(2466,Requirements!A2:B2967,2,FALSE)</f>
        <v/>
      </c>
    </row>
    <row r="598">
      <c r="A598" t="inlineStr">
        <is>
          <t xml:space="preserve">home </t>
        </is>
      </c>
      <c r="B598">
        <f>VLOOKUP(2467,Requirements!A2:B2967,2,FALSE)</f>
        <v/>
      </c>
    </row>
    <row r="599">
      <c r="A599" t="inlineStr">
        <is>
          <t xml:space="preserve">home </t>
        </is>
      </c>
      <c r="B599">
        <f>VLOOKUP(2472,Requirements!A2:B2967,2,FALSE)</f>
        <v/>
      </c>
    </row>
    <row r="600">
      <c r="A600" t="inlineStr">
        <is>
          <t xml:space="preserve">home </t>
        </is>
      </c>
      <c r="B600">
        <f>VLOOKUP(2476,Requirements!A2:B2967,2,FALSE)</f>
        <v/>
      </c>
    </row>
    <row r="601">
      <c r="A601" t="inlineStr">
        <is>
          <t xml:space="preserve">home </t>
        </is>
      </c>
      <c r="B601">
        <f>VLOOKUP(2477,Requirements!A2:B2967,2,FALSE)</f>
        <v/>
      </c>
    </row>
    <row r="602">
      <c r="A602" t="inlineStr">
        <is>
          <t xml:space="preserve">home </t>
        </is>
      </c>
      <c r="B602">
        <f>VLOOKUP(2478,Requirements!A2:B2967,2,FALSE)</f>
        <v/>
      </c>
    </row>
    <row r="603">
      <c r="A603" t="inlineStr">
        <is>
          <t xml:space="preserve">home </t>
        </is>
      </c>
      <c r="B603">
        <f>VLOOKUP(2480,Requirements!A2:B2967,2,FALSE)</f>
        <v/>
      </c>
    </row>
    <row r="604">
      <c r="A604" t="inlineStr">
        <is>
          <t xml:space="preserve">home </t>
        </is>
      </c>
      <c r="B604">
        <f>VLOOKUP(2482,Requirements!A2:B2967,2,FALSE)</f>
        <v/>
      </c>
    </row>
    <row r="605">
      <c r="A605" t="inlineStr">
        <is>
          <t xml:space="preserve">home </t>
        </is>
      </c>
      <c r="B605">
        <f>VLOOKUP(2485,Requirements!A2:B2967,2,FALSE)</f>
        <v/>
      </c>
    </row>
    <row r="606">
      <c r="A606" t="inlineStr">
        <is>
          <t xml:space="preserve">home </t>
        </is>
      </c>
      <c r="B606">
        <f>VLOOKUP(2486,Requirements!A2:B2967,2,FALSE)</f>
        <v/>
      </c>
    </row>
    <row r="607">
      <c r="A607" t="inlineStr">
        <is>
          <t xml:space="preserve">home </t>
        </is>
      </c>
      <c r="B607">
        <f>VLOOKUP(2491,Requirements!A2:B2967,2,FALSE)</f>
        <v/>
      </c>
    </row>
    <row r="608">
      <c r="A608" t="inlineStr">
        <is>
          <t xml:space="preserve">home </t>
        </is>
      </c>
      <c r="B608">
        <f>VLOOKUP(2494,Requirements!A2:B2967,2,FALSE)</f>
        <v/>
      </c>
    </row>
    <row r="609">
      <c r="A609" t="inlineStr">
        <is>
          <t xml:space="preserve">home </t>
        </is>
      </c>
      <c r="B609">
        <f>VLOOKUP(2495,Requirements!A2:B2967,2,FALSE)</f>
        <v/>
      </c>
    </row>
    <row r="610">
      <c r="A610" t="inlineStr">
        <is>
          <t xml:space="preserve">home </t>
        </is>
      </c>
      <c r="B610">
        <f>VLOOKUP(2498,Requirements!A2:B2967,2,FALSE)</f>
        <v/>
      </c>
    </row>
    <row r="611">
      <c r="A611" t="inlineStr">
        <is>
          <t xml:space="preserve">home </t>
        </is>
      </c>
      <c r="B611">
        <f>VLOOKUP(2500,Requirements!A2:B2967,2,FALSE)</f>
        <v/>
      </c>
    </row>
    <row r="612">
      <c r="A612" t="inlineStr">
        <is>
          <t xml:space="preserve">home </t>
        </is>
      </c>
      <c r="B612">
        <f>VLOOKUP(2503,Requirements!A2:B2967,2,FALSE)</f>
        <v/>
      </c>
    </row>
    <row r="613">
      <c r="A613" t="inlineStr">
        <is>
          <t xml:space="preserve">home </t>
        </is>
      </c>
      <c r="B613">
        <f>VLOOKUP(2504,Requirements!A2:B2967,2,FALSE)</f>
        <v/>
      </c>
    </row>
    <row r="614">
      <c r="A614" t="inlineStr">
        <is>
          <t xml:space="preserve">home </t>
        </is>
      </c>
      <c r="B614">
        <f>VLOOKUP(2506,Requirements!A2:B2967,2,FALSE)</f>
        <v/>
      </c>
    </row>
    <row r="615">
      <c r="A615" t="inlineStr">
        <is>
          <t xml:space="preserve">home </t>
        </is>
      </c>
      <c r="B615">
        <f>VLOOKUP(2510,Requirements!A2:B2967,2,FALSE)</f>
        <v/>
      </c>
    </row>
    <row r="616">
      <c r="A616" t="inlineStr">
        <is>
          <t xml:space="preserve">home </t>
        </is>
      </c>
      <c r="B616">
        <f>VLOOKUP(2517,Requirements!A2:B2967,2,FALSE)</f>
        <v/>
      </c>
    </row>
    <row r="617">
      <c r="A617" t="inlineStr">
        <is>
          <t xml:space="preserve">home </t>
        </is>
      </c>
      <c r="B617">
        <f>VLOOKUP(2521,Requirements!A2:B2967,2,FALSE)</f>
        <v/>
      </c>
    </row>
    <row r="618">
      <c r="A618" t="inlineStr">
        <is>
          <t xml:space="preserve">home </t>
        </is>
      </c>
      <c r="B618">
        <f>VLOOKUP(2523,Requirements!A2:B2967,2,FALSE)</f>
        <v/>
      </c>
    </row>
    <row r="619">
      <c r="A619" t="inlineStr">
        <is>
          <t xml:space="preserve">home </t>
        </is>
      </c>
      <c r="B619">
        <f>VLOOKUP(2563,Requirements!A2:B2967,2,FALSE)</f>
        <v/>
      </c>
    </row>
    <row r="620">
      <c r="A620" t="inlineStr">
        <is>
          <t xml:space="preserve">home </t>
        </is>
      </c>
      <c r="B620">
        <f>VLOOKUP(2566,Requirements!A2:B2967,2,FALSE)</f>
        <v/>
      </c>
    </row>
    <row r="621">
      <c r="A621" t="inlineStr">
        <is>
          <t xml:space="preserve">home </t>
        </is>
      </c>
      <c r="B621">
        <f>VLOOKUP(2574,Requirements!A2:B2967,2,FALSE)</f>
        <v/>
      </c>
    </row>
    <row r="622">
      <c r="A622" t="inlineStr">
        <is>
          <t xml:space="preserve">home </t>
        </is>
      </c>
      <c r="B622">
        <f>VLOOKUP(2575,Requirements!A2:B2967,2,FALSE)</f>
        <v/>
      </c>
    </row>
    <row r="623">
      <c r="A623" t="inlineStr">
        <is>
          <t xml:space="preserve">home </t>
        </is>
      </c>
      <c r="B623">
        <f>VLOOKUP(2580,Requirements!A2:B2967,2,FALSE)</f>
        <v/>
      </c>
    </row>
    <row r="624">
      <c r="A624" t="inlineStr">
        <is>
          <t xml:space="preserve">home </t>
        </is>
      </c>
      <c r="B624">
        <f>VLOOKUP(2582,Requirements!A2:B2967,2,FALSE)</f>
        <v/>
      </c>
    </row>
    <row r="625">
      <c r="A625" t="inlineStr">
        <is>
          <t xml:space="preserve">home </t>
        </is>
      </c>
      <c r="B625">
        <f>VLOOKUP(2589,Requirements!A2:B2967,2,FALSE)</f>
        <v/>
      </c>
    </row>
    <row r="626">
      <c r="A626" t="inlineStr">
        <is>
          <t xml:space="preserve">home </t>
        </is>
      </c>
      <c r="B626">
        <f>VLOOKUP(2590,Requirements!A2:B2967,2,FALSE)</f>
        <v/>
      </c>
    </row>
    <row r="627">
      <c r="A627" t="inlineStr">
        <is>
          <t xml:space="preserve">home </t>
        </is>
      </c>
      <c r="B627">
        <f>VLOOKUP(2597,Requirements!A2:B2967,2,FALSE)</f>
        <v/>
      </c>
    </row>
    <row r="628">
      <c r="A628" t="inlineStr">
        <is>
          <t xml:space="preserve">home </t>
        </is>
      </c>
      <c r="B628">
        <f>VLOOKUP(2615,Requirements!A2:B2967,2,FALSE)</f>
        <v/>
      </c>
    </row>
    <row r="629">
      <c r="A629" t="inlineStr">
        <is>
          <t xml:space="preserve">home </t>
        </is>
      </c>
      <c r="B629">
        <f>VLOOKUP(2622,Requirements!A2:B2967,2,FALSE)</f>
        <v/>
      </c>
    </row>
    <row r="630">
      <c r="A630" t="inlineStr">
        <is>
          <t xml:space="preserve">home </t>
        </is>
      </c>
      <c r="B630">
        <f>VLOOKUP(2623,Requirements!A2:B2967,2,FALSE)</f>
        <v/>
      </c>
    </row>
    <row r="631">
      <c r="A631" t="inlineStr">
        <is>
          <t xml:space="preserve">home </t>
        </is>
      </c>
      <c r="B631">
        <f>VLOOKUP(2632,Requirements!A2:B2967,2,FALSE)</f>
        <v/>
      </c>
    </row>
    <row r="632">
      <c r="A632" t="inlineStr">
        <is>
          <t xml:space="preserve">home </t>
        </is>
      </c>
      <c r="B632">
        <f>VLOOKUP(2641,Requirements!A2:B2967,2,FALSE)</f>
        <v/>
      </c>
    </row>
    <row r="633">
      <c r="A633" t="inlineStr">
        <is>
          <t xml:space="preserve">home </t>
        </is>
      </c>
      <c r="B633">
        <f>VLOOKUP(2643,Requirements!A2:B2967,2,FALSE)</f>
        <v/>
      </c>
    </row>
    <row r="634">
      <c r="A634" t="inlineStr">
        <is>
          <t xml:space="preserve">home </t>
        </is>
      </c>
      <c r="B634">
        <f>VLOOKUP(2646,Requirements!A2:B2967,2,FALSE)</f>
        <v/>
      </c>
    </row>
    <row r="635">
      <c r="A635" t="inlineStr">
        <is>
          <t xml:space="preserve">home </t>
        </is>
      </c>
      <c r="B635">
        <f>VLOOKUP(2647,Requirements!A2:B2967,2,FALSE)</f>
        <v/>
      </c>
    </row>
    <row r="636">
      <c r="A636" t="inlineStr">
        <is>
          <t xml:space="preserve">home </t>
        </is>
      </c>
      <c r="B636">
        <f>VLOOKUP(2655,Requirements!A2:B2967,2,FALSE)</f>
        <v/>
      </c>
    </row>
    <row r="637">
      <c r="A637" t="inlineStr">
        <is>
          <t xml:space="preserve">home </t>
        </is>
      </c>
      <c r="B637">
        <f>VLOOKUP(2658,Requirements!A2:B2967,2,FALSE)</f>
        <v/>
      </c>
    </row>
    <row r="638">
      <c r="A638" t="inlineStr">
        <is>
          <t xml:space="preserve">home </t>
        </is>
      </c>
      <c r="B638">
        <f>VLOOKUP(2660,Requirements!A2:B2967,2,FALSE)</f>
        <v/>
      </c>
    </row>
    <row r="639">
      <c r="A639" t="inlineStr">
        <is>
          <t xml:space="preserve">home </t>
        </is>
      </c>
      <c r="B639">
        <f>VLOOKUP(2661,Requirements!A2:B2967,2,FALSE)</f>
        <v/>
      </c>
    </row>
    <row r="640">
      <c r="A640" t="inlineStr">
        <is>
          <t xml:space="preserve">home </t>
        </is>
      </c>
      <c r="B640">
        <f>VLOOKUP(2666,Requirements!A2:B2967,2,FALSE)</f>
        <v/>
      </c>
    </row>
    <row r="641">
      <c r="A641" t="inlineStr">
        <is>
          <t xml:space="preserve">home </t>
        </is>
      </c>
      <c r="B641">
        <f>VLOOKUP(2671,Requirements!A2:B2967,2,FALSE)</f>
        <v/>
      </c>
    </row>
    <row r="642">
      <c r="A642" t="inlineStr">
        <is>
          <t xml:space="preserve">home </t>
        </is>
      </c>
      <c r="B642">
        <f>VLOOKUP(2679,Requirements!A2:B2967,2,FALSE)</f>
        <v/>
      </c>
    </row>
    <row r="643">
      <c r="A643" t="inlineStr">
        <is>
          <t xml:space="preserve">home </t>
        </is>
      </c>
      <c r="B643">
        <f>VLOOKUP(2693,Requirements!A2:B2967,2,FALSE)</f>
        <v/>
      </c>
    </row>
    <row r="644">
      <c r="A644" t="inlineStr">
        <is>
          <t xml:space="preserve">home </t>
        </is>
      </c>
      <c r="B644">
        <f>VLOOKUP(2694,Requirements!A2:B2967,2,FALSE)</f>
        <v/>
      </c>
    </row>
    <row r="645">
      <c r="A645" t="inlineStr">
        <is>
          <t xml:space="preserve">home </t>
        </is>
      </c>
      <c r="B645">
        <f>VLOOKUP(2699,Requirements!A2:B2967,2,FALSE)</f>
        <v/>
      </c>
    </row>
    <row r="646">
      <c r="A646" t="inlineStr">
        <is>
          <t xml:space="preserve">home </t>
        </is>
      </c>
      <c r="B646">
        <f>VLOOKUP(2702,Requirements!A2:B2967,2,FALSE)</f>
        <v/>
      </c>
    </row>
    <row r="647">
      <c r="A647" t="inlineStr">
        <is>
          <t xml:space="preserve">home </t>
        </is>
      </c>
      <c r="B647">
        <f>VLOOKUP(2707,Requirements!A2:B2967,2,FALSE)</f>
        <v/>
      </c>
    </row>
    <row r="648">
      <c r="A648" t="inlineStr">
        <is>
          <t xml:space="preserve">home </t>
        </is>
      </c>
      <c r="B648">
        <f>VLOOKUP(2710,Requirements!A2:B2967,2,FALSE)</f>
        <v/>
      </c>
    </row>
    <row r="649">
      <c r="A649" t="inlineStr">
        <is>
          <t xml:space="preserve">home </t>
        </is>
      </c>
      <c r="B649">
        <f>VLOOKUP(2713,Requirements!A2:B2967,2,FALSE)</f>
        <v/>
      </c>
    </row>
    <row r="650">
      <c r="A650" t="inlineStr">
        <is>
          <t xml:space="preserve">home </t>
        </is>
      </c>
      <c r="B650">
        <f>VLOOKUP(2716,Requirements!A2:B2967,2,FALSE)</f>
        <v/>
      </c>
    </row>
    <row r="651">
      <c r="A651" t="inlineStr">
        <is>
          <t xml:space="preserve">home </t>
        </is>
      </c>
      <c r="B651">
        <f>VLOOKUP(2719,Requirements!A2:B2967,2,FALSE)</f>
        <v/>
      </c>
    </row>
    <row r="652">
      <c r="A652" t="inlineStr">
        <is>
          <t xml:space="preserve">home </t>
        </is>
      </c>
      <c r="B652">
        <f>VLOOKUP(2723,Requirements!A2:B2967,2,FALSE)</f>
        <v/>
      </c>
    </row>
    <row r="653">
      <c r="A653" t="inlineStr">
        <is>
          <t xml:space="preserve">home </t>
        </is>
      </c>
      <c r="B653">
        <f>VLOOKUP(2729,Requirements!A2:B2967,2,FALSE)</f>
        <v/>
      </c>
    </row>
    <row r="654">
      <c r="A654" t="inlineStr">
        <is>
          <t xml:space="preserve">home </t>
        </is>
      </c>
      <c r="B654">
        <f>VLOOKUP(2732,Requirements!A2:B2967,2,FALSE)</f>
        <v/>
      </c>
    </row>
    <row r="655">
      <c r="A655" t="inlineStr">
        <is>
          <t xml:space="preserve">home </t>
        </is>
      </c>
      <c r="B655">
        <f>VLOOKUP(2734,Requirements!A2:B2967,2,FALSE)</f>
        <v/>
      </c>
    </row>
    <row r="656">
      <c r="A656" t="inlineStr">
        <is>
          <t xml:space="preserve">home </t>
        </is>
      </c>
      <c r="B656">
        <f>VLOOKUP(2736,Requirements!A2:B2967,2,FALSE)</f>
        <v/>
      </c>
    </row>
    <row r="657">
      <c r="A657" t="inlineStr">
        <is>
          <t xml:space="preserve">home </t>
        </is>
      </c>
      <c r="B657">
        <f>VLOOKUP(2742,Requirements!A2:B2967,2,FALSE)</f>
        <v/>
      </c>
    </row>
    <row r="658">
      <c r="A658" t="inlineStr">
        <is>
          <t xml:space="preserve">home </t>
        </is>
      </c>
      <c r="B658">
        <f>VLOOKUP(2752,Requirements!A2:B2967,2,FALSE)</f>
        <v/>
      </c>
    </row>
    <row r="659">
      <c r="A659" t="inlineStr">
        <is>
          <t xml:space="preserve">home </t>
        </is>
      </c>
      <c r="B659">
        <f>VLOOKUP(2758,Requirements!A2:B2967,2,FALSE)</f>
        <v/>
      </c>
    </row>
    <row r="660">
      <c r="A660" t="inlineStr">
        <is>
          <t xml:space="preserve">home </t>
        </is>
      </c>
      <c r="B660">
        <f>VLOOKUP(2765,Requirements!A2:B2967,2,FALSE)</f>
        <v/>
      </c>
    </row>
    <row r="661">
      <c r="A661" t="inlineStr">
        <is>
          <t xml:space="preserve">home </t>
        </is>
      </c>
      <c r="B661">
        <f>VLOOKUP(2789,Requirements!A2:B2967,2,FALSE)</f>
        <v/>
      </c>
    </row>
    <row r="662">
      <c r="A662" t="inlineStr">
        <is>
          <t xml:space="preserve">home </t>
        </is>
      </c>
      <c r="B662">
        <f>VLOOKUP(2793,Requirements!A2:B2967,2,FALSE)</f>
        <v/>
      </c>
    </row>
    <row r="663">
      <c r="A663" t="inlineStr">
        <is>
          <t xml:space="preserve">home </t>
        </is>
      </c>
      <c r="B663">
        <f>VLOOKUP(2795,Requirements!A2:B2967,2,FALSE)</f>
        <v/>
      </c>
    </row>
    <row r="664">
      <c r="A664" t="inlineStr">
        <is>
          <t xml:space="preserve">home </t>
        </is>
      </c>
      <c r="B664">
        <f>VLOOKUP(2799,Requirements!A2:B2967,2,FALSE)</f>
        <v/>
      </c>
    </row>
    <row r="665">
      <c r="A665" t="inlineStr">
        <is>
          <t xml:space="preserve">home </t>
        </is>
      </c>
      <c r="B665">
        <f>VLOOKUP(2800,Requirements!A2:B2967,2,FALSE)</f>
        <v/>
      </c>
    </row>
    <row r="666">
      <c r="A666" t="inlineStr">
        <is>
          <t xml:space="preserve">home </t>
        </is>
      </c>
      <c r="B666">
        <f>VLOOKUP(2803,Requirements!A2:B2967,2,FALSE)</f>
        <v/>
      </c>
    </row>
    <row r="667">
      <c r="A667" t="inlineStr">
        <is>
          <t xml:space="preserve">home </t>
        </is>
      </c>
      <c r="B667">
        <f>VLOOKUP(2804,Requirements!A2:B2967,2,FALSE)</f>
        <v/>
      </c>
    </row>
    <row r="668">
      <c r="A668" t="inlineStr">
        <is>
          <t xml:space="preserve">home </t>
        </is>
      </c>
      <c r="B668">
        <f>VLOOKUP(2805,Requirements!A2:B2967,2,FALSE)</f>
        <v/>
      </c>
    </row>
    <row r="669">
      <c r="A669" t="inlineStr">
        <is>
          <t xml:space="preserve">home </t>
        </is>
      </c>
      <c r="B669">
        <f>VLOOKUP(2806,Requirements!A2:B2967,2,FALSE)</f>
        <v/>
      </c>
    </row>
    <row r="670">
      <c r="A670" t="inlineStr">
        <is>
          <t xml:space="preserve">home </t>
        </is>
      </c>
      <c r="B670">
        <f>VLOOKUP(2807,Requirements!A2:B2967,2,FALSE)</f>
        <v/>
      </c>
    </row>
    <row r="671">
      <c r="A671" t="inlineStr">
        <is>
          <t xml:space="preserve">home </t>
        </is>
      </c>
      <c r="B671">
        <f>VLOOKUP(2808,Requirements!A2:B2967,2,FALSE)</f>
        <v/>
      </c>
    </row>
    <row r="672">
      <c r="A672" t="inlineStr">
        <is>
          <t xml:space="preserve">home </t>
        </is>
      </c>
      <c r="B672">
        <f>VLOOKUP(2810,Requirements!A2:B2967,2,FALSE)</f>
        <v/>
      </c>
    </row>
    <row r="673">
      <c r="A673" t="inlineStr">
        <is>
          <t xml:space="preserve">home </t>
        </is>
      </c>
      <c r="B673">
        <f>VLOOKUP(2829,Requirements!A2:B2967,2,FALSE)</f>
        <v/>
      </c>
    </row>
    <row r="674">
      <c r="A674" t="inlineStr">
        <is>
          <t xml:space="preserve">home </t>
        </is>
      </c>
      <c r="B674">
        <f>VLOOKUP(2843,Requirements!A2:B2967,2,FALSE)</f>
        <v/>
      </c>
    </row>
    <row r="675">
      <c r="A675" t="inlineStr">
        <is>
          <t xml:space="preserve">home </t>
        </is>
      </c>
      <c r="B675">
        <f>VLOOKUP(2847,Requirements!A2:B2967,2,FALSE)</f>
        <v/>
      </c>
    </row>
    <row r="676">
      <c r="A676" t="inlineStr">
        <is>
          <t xml:space="preserve">home </t>
        </is>
      </c>
      <c r="B676">
        <f>VLOOKUP(2849,Requirements!A2:B2967,2,FALSE)</f>
        <v/>
      </c>
    </row>
    <row r="677">
      <c r="A677" t="inlineStr">
        <is>
          <t xml:space="preserve">home </t>
        </is>
      </c>
      <c r="B677">
        <f>VLOOKUP(2852,Requirements!A2:B2967,2,FALSE)</f>
        <v/>
      </c>
    </row>
    <row r="678">
      <c r="A678" t="inlineStr">
        <is>
          <t xml:space="preserve">home </t>
        </is>
      </c>
      <c r="B678">
        <f>VLOOKUP(2856,Requirements!A2:B2967,2,FALSE)</f>
        <v/>
      </c>
    </row>
    <row r="679">
      <c r="A679" t="inlineStr">
        <is>
          <t xml:space="preserve">home </t>
        </is>
      </c>
      <c r="B679">
        <f>VLOOKUP(2858,Requirements!A2:B2967,2,FALSE)</f>
        <v/>
      </c>
    </row>
    <row r="680">
      <c r="A680" t="inlineStr">
        <is>
          <t xml:space="preserve">home </t>
        </is>
      </c>
      <c r="B680">
        <f>VLOOKUP(2871,Requirements!A2:B2967,2,FALSE)</f>
        <v/>
      </c>
    </row>
    <row r="681">
      <c r="A681" t="inlineStr">
        <is>
          <t xml:space="preserve">home </t>
        </is>
      </c>
      <c r="B681">
        <f>VLOOKUP(2872,Requirements!A2:B2967,2,FALSE)</f>
        <v/>
      </c>
    </row>
    <row r="682">
      <c r="A682" t="inlineStr">
        <is>
          <t xml:space="preserve">home </t>
        </is>
      </c>
      <c r="B682">
        <f>VLOOKUP(2874,Requirements!A2:B2967,2,FALSE)</f>
        <v/>
      </c>
    </row>
    <row r="683">
      <c r="A683" t="inlineStr">
        <is>
          <t xml:space="preserve">home </t>
        </is>
      </c>
      <c r="B683">
        <f>VLOOKUP(2878,Requirements!A2:B2967,2,FALSE)</f>
        <v/>
      </c>
    </row>
    <row r="684">
      <c r="A684" t="inlineStr">
        <is>
          <t xml:space="preserve">home </t>
        </is>
      </c>
      <c r="B684">
        <f>VLOOKUP(2879,Requirements!A2:B2967,2,FALSE)</f>
        <v/>
      </c>
    </row>
    <row r="685">
      <c r="A685" t="inlineStr">
        <is>
          <t xml:space="preserve">home </t>
        </is>
      </c>
      <c r="B685">
        <f>VLOOKUP(2885,Requirements!A2:B2967,2,FALSE)</f>
        <v/>
      </c>
    </row>
    <row r="686">
      <c r="A686" t="inlineStr">
        <is>
          <t xml:space="preserve">home </t>
        </is>
      </c>
      <c r="B686">
        <f>VLOOKUP(2889,Requirements!A2:B2967,2,FALSE)</f>
        <v/>
      </c>
    </row>
    <row r="687">
      <c r="A687" t="inlineStr">
        <is>
          <t xml:space="preserve">home </t>
        </is>
      </c>
      <c r="B687">
        <f>VLOOKUP(2892,Requirements!A2:B2967,2,FALSE)</f>
        <v/>
      </c>
    </row>
    <row r="688">
      <c r="A688" t="inlineStr">
        <is>
          <t xml:space="preserve">home </t>
        </is>
      </c>
      <c r="B688">
        <f>VLOOKUP(2896,Requirements!A2:B2967,2,FALSE)</f>
        <v/>
      </c>
    </row>
    <row r="689">
      <c r="A689" t="inlineStr">
        <is>
          <t xml:space="preserve">home </t>
        </is>
      </c>
      <c r="B689">
        <f>VLOOKUP(2899,Requirements!A2:B2967,2,FALSE)</f>
        <v/>
      </c>
    </row>
    <row r="690">
      <c r="A690" t="inlineStr">
        <is>
          <t xml:space="preserve">home </t>
        </is>
      </c>
      <c r="B690">
        <f>VLOOKUP(2905,Requirements!A2:B2967,2,FALSE)</f>
        <v/>
      </c>
    </row>
    <row r="691">
      <c r="A691" t="inlineStr">
        <is>
          <t xml:space="preserve">home </t>
        </is>
      </c>
      <c r="B691">
        <f>VLOOKUP(2907,Requirements!A2:B2967,2,FALSE)</f>
        <v/>
      </c>
    </row>
    <row r="692">
      <c r="A692" t="inlineStr">
        <is>
          <t xml:space="preserve">home </t>
        </is>
      </c>
      <c r="B692">
        <f>VLOOKUP(2908,Requirements!A2:B2967,2,FALSE)</f>
        <v/>
      </c>
    </row>
    <row r="693">
      <c r="A693" t="inlineStr">
        <is>
          <t xml:space="preserve">home </t>
        </is>
      </c>
      <c r="B693">
        <f>VLOOKUP(2909,Requirements!A2:B2967,2,FALSE)</f>
        <v/>
      </c>
    </row>
    <row r="694">
      <c r="A694" t="inlineStr">
        <is>
          <t xml:space="preserve">home </t>
        </is>
      </c>
      <c r="B694">
        <f>VLOOKUP(2917,Requirements!A2:B2967,2,FALSE)</f>
        <v/>
      </c>
    </row>
    <row r="695">
      <c r="A695" t="inlineStr">
        <is>
          <t xml:space="preserve">home </t>
        </is>
      </c>
      <c r="B695">
        <f>VLOOKUP(2920,Requirements!A2:B2967,2,FALSE)</f>
        <v/>
      </c>
    </row>
    <row r="696">
      <c r="A696" t="inlineStr">
        <is>
          <t xml:space="preserve">home </t>
        </is>
      </c>
      <c r="B696">
        <f>VLOOKUP(2922,Requirements!A2:B2967,2,FALSE)</f>
        <v/>
      </c>
    </row>
    <row r="697">
      <c r="A697" t="inlineStr">
        <is>
          <t xml:space="preserve">home </t>
        </is>
      </c>
      <c r="B697">
        <f>VLOOKUP(2923,Requirements!A2:B2967,2,FALSE)</f>
        <v/>
      </c>
    </row>
    <row r="698">
      <c r="A698" t="inlineStr">
        <is>
          <t xml:space="preserve">home </t>
        </is>
      </c>
      <c r="B698">
        <f>VLOOKUP(2928,Requirements!A2:B2967,2,FALSE)</f>
        <v/>
      </c>
    </row>
    <row r="699">
      <c r="A699" t="inlineStr">
        <is>
          <t xml:space="preserve">home </t>
        </is>
      </c>
      <c r="B699">
        <f>VLOOKUP(2929,Requirements!A2:B2967,2,FALSE)</f>
        <v/>
      </c>
    </row>
    <row r="700">
      <c r="A700" t="inlineStr">
        <is>
          <t xml:space="preserve">home </t>
        </is>
      </c>
      <c r="B700">
        <f>VLOOKUP(2933,Requirements!A2:B2967,2,FALSE)</f>
        <v/>
      </c>
    </row>
    <row r="701">
      <c r="A701" t="inlineStr">
        <is>
          <t xml:space="preserve">home </t>
        </is>
      </c>
      <c r="B701">
        <f>VLOOKUP(2934,Requirements!A2:B2967,2,FALSE)</f>
        <v/>
      </c>
    </row>
    <row r="702">
      <c r="A702" t="inlineStr">
        <is>
          <t xml:space="preserve">home </t>
        </is>
      </c>
      <c r="B702">
        <f>VLOOKUP(2935,Requirements!A2:B2967,2,FALSE)</f>
        <v/>
      </c>
    </row>
    <row r="703">
      <c r="A703" t="inlineStr">
        <is>
          <t xml:space="preserve">home </t>
        </is>
      </c>
      <c r="B703">
        <f>VLOOKUP(2937,Requirements!A2:B2967,2,FALSE)</f>
        <v/>
      </c>
    </row>
    <row r="704">
      <c r="A704" t="inlineStr">
        <is>
          <t xml:space="preserve">home </t>
        </is>
      </c>
      <c r="B704">
        <f>VLOOKUP(2938,Requirements!A2:B2967,2,FALSE)</f>
        <v/>
      </c>
    </row>
    <row r="705">
      <c r="A705" t="inlineStr">
        <is>
          <t xml:space="preserve">home </t>
        </is>
      </c>
      <c r="B705">
        <f>VLOOKUP(2939,Requirements!A2:B2967,2,FALSE)</f>
        <v/>
      </c>
    </row>
    <row r="706">
      <c r="A706" t="inlineStr">
        <is>
          <t xml:space="preserve">home </t>
        </is>
      </c>
      <c r="B706">
        <f>VLOOKUP(2941,Requirements!A2:B2967,2,FALSE)</f>
        <v/>
      </c>
    </row>
    <row r="707">
      <c r="A707" t="inlineStr">
        <is>
          <t xml:space="preserve">home </t>
        </is>
      </c>
      <c r="B707">
        <f>VLOOKUP(2944,Requirements!A2:B2967,2,FALSE)</f>
        <v/>
      </c>
    </row>
    <row r="708">
      <c r="A708" t="inlineStr">
        <is>
          <t xml:space="preserve">home </t>
        </is>
      </c>
      <c r="B708">
        <f>VLOOKUP(2946,Requirements!A2:B2967,2,FALSE)</f>
        <v/>
      </c>
    </row>
    <row r="709">
      <c r="A709" t="inlineStr">
        <is>
          <t xml:space="preserve">home </t>
        </is>
      </c>
      <c r="B709">
        <f>VLOOKUP(2948,Requirements!A2:B2967,2,FALSE)</f>
        <v/>
      </c>
    </row>
    <row r="710">
      <c r="A710" t="inlineStr">
        <is>
          <t xml:space="preserve">home </t>
        </is>
      </c>
      <c r="B710">
        <f>VLOOKUP(2954,Requirements!A2:B2967,2,FALSE)</f>
        <v/>
      </c>
    </row>
    <row r="711">
      <c r="A711" t="inlineStr">
        <is>
          <t xml:space="preserve">home </t>
        </is>
      </c>
      <c r="B711">
        <f>VLOOKUP(2956,Requirements!A2:B2967,2,FALSE)</f>
        <v/>
      </c>
    </row>
    <row r="712">
      <c r="A712" t="inlineStr">
        <is>
          <t xml:space="preserve">home </t>
        </is>
      </c>
      <c r="B712">
        <f>VLOOKUP(2958,Requirements!A2:B2967,2,FALSE)</f>
        <v/>
      </c>
    </row>
    <row r="713">
      <c r="A713" t="inlineStr">
        <is>
          <t xml:space="preserve">home </t>
        </is>
      </c>
      <c r="B713">
        <f>VLOOKUP(2960,Requirements!A2:B2967,2,FALSE)</f>
        <v/>
      </c>
    </row>
    <row r="714">
      <c r="A714" t="inlineStr">
        <is>
          <t xml:space="preserve">home </t>
        </is>
      </c>
      <c r="B714">
        <f>VLOOKUP(2962,Requirements!A2:B2967,2,FALSE)</f>
        <v/>
      </c>
    </row>
    <row r="715">
      <c r="A715" t="inlineStr">
        <is>
          <t xml:space="preserve">home </t>
        </is>
      </c>
      <c r="B715">
        <f>VLOOKUP(2963,Requirements!A2:B2967,2,FALSE)</f>
        <v/>
      </c>
    </row>
    <row r="716">
      <c r="A716" t="inlineStr">
        <is>
          <t xml:space="preserve">home </t>
        </is>
      </c>
      <c r="B716">
        <f>VLOOKUP(2965,Requirements!A2:B2967,2,FALSE)</f>
        <v/>
      </c>
    </row>
    <row r="717">
      <c r="A717" t="inlineStr">
        <is>
          <t xml:space="preserve">home </t>
        </is>
      </c>
      <c r="B717">
        <f>VLOOKUP(2966,Requirements!A2:B2967,2,FALSE)</f>
        <v/>
      </c>
    </row>
    <row r="718">
      <c r="A718" t="inlineStr">
        <is>
          <t xml:space="preserve">home </t>
        </is>
      </c>
      <c r="B718">
        <f>VLOOKUP(2968,Requirements!A2:B2967,2,FALSE)</f>
        <v/>
      </c>
    </row>
    <row r="719">
      <c r="A719" t="inlineStr">
        <is>
          <t xml:space="preserve">home </t>
        </is>
      </c>
      <c r="B719">
        <f>VLOOKUP(2972,Requirements!A2:B2967,2,FALSE)</f>
        <v/>
      </c>
    </row>
    <row r="720">
      <c r="A720" t="inlineStr">
        <is>
          <t xml:space="preserve">home </t>
        </is>
      </c>
      <c r="B720">
        <f>VLOOKUP(2973,Requirements!A2:B2967,2,FALSE)</f>
        <v/>
      </c>
    </row>
    <row r="721">
      <c r="A721" t="inlineStr">
        <is>
          <t xml:space="preserve">home </t>
        </is>
      </c>
      <c r="B721">
        <f>VLOOKUP(2977,Requirements!A2:B2967,2,FALSE)</f>
        <v/>
      </c>
    </row>
    <row r="722">
      <c r="A722" t="inlineStr">
        <is>
          <t xml:space="preserve">home </t>
        </is>
      </c>
      <c r="B722">
        <f>VLOOKUP(2990,Requirements!A2:B2967,2,FALSE)</f>
        <v/>
      </c>
    </row>
    <row r="723">
      <c r="A723" t="inlineStr">
        <is>
          <t xml:space="preserve">home </t>
        </is>
      </c>
      <c r="B723">
        <f>VLOOKUP(2992,Requirements!A2:B2967,2,FALSE)</f>
        <v/>
      </c>
    </row>
    <row r="724">
      <c r="A724" t="inlineStr">
        <is>
          <t xml:space="preserve">home </t>
        </is>
      </c>
      <c r="B724">
        <f>VLOOKUP(2994,Requirements!A2:B2967,2,FALSE)</f>
        <v/>
      </c>
    </row>
    <row r="725">
      <c r="A725" t="inlineStr">
        <is>
          <t xml:space="preserve">home </t>
        </is>
      </c>
      <c r="B725">
        <f>VLOOKUP(2997,Requirements!A2:B2967,2,FALSE)</f>
        <v/>
      </c>
    </row>
    <row r="726">
      <c r="A726" t="inlineStr">
        <is>
          <t xml:space="preserve">home </t>
        </is>
      </c>
      <c r="B726">
        <f>VLOOKUP(2999,Requirements!A2:B2967,2,FALSE)</f>
        <v/>
      </c>
    </row>
    <row r="727">
      <c r="A727" t="inlineStr">
        <is>
          <t xml:space="preserve">home </t>
        </is>
      </c>
      <c r="B727">
        <f>VLOOKUP(3003,Requirements!A2:B2967,2,FALSE)</f>
        <v/>
      </c>
    </row>
    <row r="728">
      <c r="A728" t="inlineStr">
        <is>
          <t xml:space="preserve">home </t>
        </is>
      </c>
      <c r="B728">
        <f>VLOOKUP(3004,Requirements!A2:B2967,2,FALSE)</f>
        <v/>
      </c>
    </row>
    <row r="729">
      <c r="A729" t="inlineStr">
        <is>
          <t xml:space="preserve">home </t>
        </is>
      </c>
      <c r="B729">
        <f>VLOOKUP(3005,Requirements!A2:B2967,2,FALSE)</f>
        <v/>
      </c>
    </row>
    <row r="730">
      <c r="A730" t="inlineStr">
        <is>
          <t xml:space="preserve">home </t>
        </is>
      </c>
      <c r="B730">
        <f>VLOOKUP(3006,Requirements!A2:B2967,2,FALSE)</f>
        <v/>
      </c>
    </row>
    <row r="731">
      <c r="A731" t="inlineStr">
        <is>
          <t xml:space="preserve">home </t>
        </is>
      </c>
      <c r="B731">
        <f>VLOOKUP(3010,Requirements!A2:B2967,2,FALSE)</f>
        <v/>
      </c>
    </row>
    <row r="732">
      <c r="A732" t="inlineStr">
        <is>
          <t xml:space="preserve">home </t>
        </is>
      </c>
      <c r="B732">
        <f>VLOOKUP(3023,Requirements!A2:B2967,2,FALSE)</f>
        <v/>
      </c>
    </row>
    <row r="733">
      <c r="A733" t="inlineStr">
        <is>
          <t xml:space="preserve">home </t>
        </is>
      </c>
      <c r="B733">
        <f>VLOOKUP(3027,Requirements!A2:B2967,2,FALSE)</f>
        <v/>
      </c>
    </row>
    <row r="734">
      <c r="A734" t="inlineStr">
        <is>
          <t xml:space="preserve">home </t>
        </is>
      </c>
      <c r="B734">
        <f>VLOOKUP(3041,Requirements!A2:B2967,2,FALSE)</f>
        <v/>
      </c>
    </row>
    <row r="735">
      <c r="A735" t="inlineStr">
        <is>
          <t xml:space="preserve">home </t>
        </is>
      </c>
      <c r="B735">
        <f>VLOOKUP(3051,Requirements!A2:B2967,2,FALSE)</f>
        <v/>
      </c>
    </row>
    <row r="736">
      <c r="A736" t="inlineStr">
        <is>
          <t xml:space="preserve">home </t>
        </is>
      </c>
      <c r="B736">
        <f>VLOOKUP(3055,Requirements!A2:B2967,2,FALSE)</f>
        <v/>
      </c>
    </row>
    <row r="737">
      <c r="A737" t="inlineStr">
        <is>
          <t xml:space="preserve">home </t>
        </is>
      </c>
      <c r="B737">
        <f>VLOOKUP(3068,Requirements!A2:B2967,2,FALSE)</f>
        <v/>
      </c>
    </row>
    <row r="738">
      <c r="A738" t="inlineStr">
        <is>
          <t xml:space="preserve">home </t>
        </is>
      </c>
      <c r="B738">
        <f>VLOOKUP(3080,Requirements!A2:B2967,2,FALSE)</f>
        <v/>
      </c>
    </row>
    <row r="739">
      <c r="A739" t="inlineStr">
        <is>
          <t xml:space="preserve">home </t>
        </is>
      </c>
      <c r="B739">
        <f>VLOOKUP(3085,Requirements!A2:B2967,2,FALSE)</f>
        <v/>
      </c>
    </row>
    <row r="740">
      <c r="A740" t="inlineStr">
        <is>
          <t xml:space="preserve">home </t>
        </is>
      </c>
      <c r="B740">
        <f>VLOOKUP(3087,Requirements!A2:B2967,2,FALSE)</f>
        <v/>
      </c>
    </row>
    <row r="741">
      <c r="A741" t="inlineStr">
        <is>
          <t xml:space="preserve">home </t>
        </is>
      </c>
      <c r="B741">
        <f>VLOOKUP(3092,Requirements!A2:B2967,2,FALSE)</f>
        <v/>
      </c>
    </row>
    <row r="742">
      <c r="A742" t="inlineStr">
        <is>
          <t xml:space="preserve">home </t>
        </is>
      </c>
      <c r="B742">
        <f>VLOOKUP(3103,Requirements!A2:B2967,2,FALSE)</f>
        <v/>
      </c>
    </row>
    <row r="743">
      <c r="A743" t="inlineStr">
        <is>
          <t xml:space="preserve">home </t>
        </is>
      </c>
      <c r="B743">
        <f>VLOOKUP(3107,Requirements!A2:B2967,2,FALSE)</f>
        <v/>
      </c>
    </row>
    <row r="744">
      <c r="A744" t="inlineStr">
        <is>
          <t xml:space="preserve">home </t>
        </is>
      </c>
      <c r="B744">
        <f>VLOOKUP(3109,Requirements!A2:B2967,2,FALSE)</f>
        <v/>
      </c>
    </row>
    <row r="745">
      <c r="A745" t="inlineStr">
        <is>
          <t xml:space="preserve">home </t>
        </is>
      </c>
      <c r="B745">
        <f>VLOOKUP(3116,Requirements!A2:B2967,2,FALSE)</f>
        <v/>
      </c>
    </row>
    <row r="746">
      <c r="A746" t="inlineStr">
        <is>
          <t xml:space="preserve">home </t>
        </is>
      </c>
      <c r="B746">
        <f>VLOOKUP(3123,Requirements!A2:B2967,2,FALSE)</f>
        <v/>
      </c>
    </row>
    <row r="747">
      <c r="A747" t="inlineStr">
        <is>
          <t xml:space="preserve">home </t>
        </is>
      </c>
      <c r="B747">
        <f>VLOOKUP(3124,Requirements!A2:B2967,2,FALSE)</f>
        <v/>
      </c>
    </row>
    <row r="748">
      <c r="A748" t="inlineStr">
        <is>
          <t xml:space="preserve">home </t>
        </is>
      </c>
      <c r="B748">
        <f>VLOOKUP(3134,Requirements!A2:B2967,2,FALSE)</f>
        <v/>
      </c>
    </row>
    <row r="749">
      <c r="A749" t="inlineStr">
        <is>
          <t xml:space="preserve">home </t>
        </is>
      </c>
      <c r="B749">
        <f>VLOOKUP(3141,Requirements!A2:B2967,2,FALSE)</f>
        <v/>
      </c>
    </row>
    <row r="750">
      <c r="A750" t="inlineStr">
        <is>
          <t xml:space="preserve">home </t>
        </is>
      </c>
      <c r="B750">
        <f>VLOOKUP(3149,Requirements!A2:B2967,2,FALSE)</f>
        <v/>
      </c>
    </row>
    <row r="751">
      <c r="A751" t="inlineStr">
        <is>
          <t xml:space="preserve">home </t>
        </is>
      </c>
      <c r="B751">
        <f>VLOOKUP(3152,Requirements!A2:B2967,2,FALSE)</f>
        <v/>
      </c>
    </row>
    <row r="752">
      <c r="A752" t="inlineStr">
        <is>
          <t xml:space="preserve">home </t>
        </is>
      </c>
      <c r="B752">
        <f>VLOOKUP(3160,Requirements!A2:B2967,2,FALSE)</f>
        <v/>
      </c>
    </row>
    <row r="753">
      <c r="A753" t="inlineStr">
        <is>
          <t xml:space="preserve">home </t>
        </is>
      </c>
      <c r="B753">
        <f>VLOOKUP(3162,Requirements!A2:B2967,2,FALSE)</f>
        <v/>
      </c>
    </row>
    <row r="754">
      <c r="A754" t="inlineStr">
        <is>
          <t xml:space="preserve">home </t>
        </is>
      </c>
      <c r="B754">
        <f>VLOOKUP(3170,Requirements!A2:B2967,2,FALSE)</f>
        <v/>
      </c>
    </row>
    <row r="755">
      <c r="A755" t="inlineStr">
        <is>
          <t xml:space="preserve">home </t>
        </is>
      </c>
      <c r="B755">
        <f>VLOOKUP(3175,Requirements!A2:B2967,2,FALSE)</f>
        <v/>
      </c>
    </row>
    <row r="756">
      <c r="A756" t="inlineStr">
        <is>
          <t xml:space="preserve">home </t>
        </is>
      </c>
      <c r="B756">
        <f>VLOOKUP(3176,Requirements!A2:B2967,2,FALSE)</f>
        <v/>
      </c>
    </row>
    <row r="757">
      <c r="A757" t="inlineStr">
        <is>
          <t xml:space="preserve">home </t>
        </is>
      </c>
      <c r="B757">
        <f>VLOOKUP(3178,Requirements!A2:B2967,2,FALSE)</f>
        <v/>
      </c>
    </row>
    <row r="758">
      <c r="A758" t="inlineStr">
        <is>
          <t xml:space="preserve">home </t>
        </is>
      </c>
      <c r="B758">
        <f>VLOOKUP(3182,Requirements!A2:B2967,2,FALSE)</f>
        <v/>
      </c>
    </row>
    <row r="759">
      <c r="A759" t="inlineStr">
        <is>
          <t xml:space="preserve">home </t>
        </is>
      </c>
      <c r="B759">
        <f>VLOOKUP(3188,Requirements!A2:B2967,2,FALSE)</f>
        <v/>
      </c>
    </row>
    <row r="760">
      <c r="A760" t="inlineStr">
        <is>
          <t xml:space="preserve">home </t>
        </is>
      </c>
      <c r="B760">
        <f>VLOOKUP(3209,Requirements!A2:B2967,2,FALSE)</f>
        <v/>
      </c>
    </row>
    <row r="761">
      <c r="A761" t="inlineStr">
        <is>
          <t xml:space="preserve">home </t>
        </is>
      </c>
      <c r="B761">
        <f>VLOOKUP(3226,Requirements!A2:B2967,2,FALSE)</f>
        <v/>
      </c>
    </row>
    <row r="762">
      <c r="A762" t="inlineStr">
        <is>
          <t xml:space="preserve">home </t>
        </is>
      </c>
      <c r="B762">
        <f>VLOOKUP(3227,Requirements!A2:B2967,2,FALSE)</f>
        <v/>
      </c>
    </row>
    <row r="763">
      <c r="A763" t="inlineStr">
        <is>
          <t xml:space="preserve">home </t>
        </is>
      </c>
      <c r="B763">
        <f>VLOOKUP(3233,Requirements!A2:B2967,2,FALSE)</f>
        <v/>
      </c>
    </row>
    <row r="764">
      <c r="A764" t="inlineStr">
        <is>
          <t xml:space="preserve">home </t>
        </is>
      </c>
      <c r="B764">
        <f>VLOOKUP(3241,Requirements!A2:B2967,2,FALSE)</f>
        <v/>
      </c>
    </row>
    <row r="765">
      <c r="A765" t="inlineStr">
        <is>
          <t xml:space="preserve">home </t>
        </is>
      </c>
      <c r="B765">
        <f>VLOOKUP(3247,Requirements!A2:B2967,2,FALSE)</f>
        <v/>
      </c>
    </row>
    <row r="766">
      <c r="A766" t="inlineStr">
        <is>
          <t xml:space="preserve">home </t>
        </is>
      </c>
      <c r="B766">
        <f>VLOOKUP(3248,Requirements!A2:B2967,2,FALSE)</f>
        <v/>
      </c>
    </row>
    <row r="767">
      <c r="A767" t="inlineStr">
        <is>
          <t xml:space="preserve">home </t>
        </is>
      </c>
      <c r="B767">
        <f>VLOOKUP(3257,Requirements!A2:B2967,2,FALSE)</f>
        <v/>
      </c>
    </row>
    <row r="768">
      <c r="A768" t="inlineStr">
        <is>
          <t xml:space="preserve">home </t>
        </is>
      </c>
      <c r="B768">
        <f>VLOOKUP(3274,Requirements!A2:B2967,2,FALSE)</f>
        <v/>
      </c>
    </row>
    <row r="769">
      <c r="A769" t="inlineStr">
        <is>
          <t xml:space="preserve">able </t>
        </is>
      </c>
      <c r="B769">
        <f>VLOOKUP(11,Requirements!A2:B2967,2,FALSE)</f>
        <v/>
      </c>
    </row>
    <row r="770">
      <c r="A770" t="inlineStr">
        <is>
          <t xml:space="preserve">able </t>
        </is>
      </c>
      <c r="B770">
        <f>VLOOKUP(77,Requirements!A2:B2967,2,FALSE)</f>
        <v/>
      </c>
    </row>
    <row r="771">
      <c r="A771" t="inlineStr">
        <is>
          <t xml:space="preserve">able </t>
        </is>
      </c>
      <c r="B771">
        <f>VLOOKUP(80,Requirements!A2:B2967,2,FALSE)</f>
        <v/>
      </c>
    </row>
    <row r="772">
      <c r="A772" t="inlineStr">
        <is>
          <t xml:space="preserve">able </t>
        </is>
      </c>
      <c r="B772">
        <f>VLOOKUP(84,Requirements!A2:B2967,2,FALSE)</f>
        <v/>
      </c>
    </row>
    <row r="773">
      <c r="A773" t="inlineStr">
        <is>
          <t xml:space="preserve">able </t>
        </is>
      </c>
      <c r="B773">
        <f>VLOOKUP(290,Requirements!A2:B2967,2,FALSE)</f>
        <v/>
      </c>
    </row>
    <row r="774">
      <c r="A774" t="inlineStr">
        <is>
          <t xml:space="preserve">able </t>
        </is>
      </c>
      <c r="B774">
        <f>VLOOKUP(321,Requirements!A2:B2967,2,FALSE)</f>
        <v/>
      </c>
    </row>
    <row r="775">
      <c r="A775" t="inlineStr">
        <is>
          <t xml:space="preserve">able </t>
        </is>
      </c>
      <c r="B775">
        <f>VLOOKUP(340,Requirements!A2:B2967,2,FALSE)</f>
        <v/>
      </c>
    </row>
    <row r="776">
      <c r="A776" t="inlineStr">
        <is>
          <t xml:space="preserve">able </t>
        </is>
      </c>
      <c r="B776">
        <f>VLOOKUP(344,Requirements!A2:B2967,2,FALSE)</f>
        <v/>
      </c>
    </row>
    <row r="777">
      <c r="A777" t="inlineStr">
        <is>
          <t xml:space="preserve">able </t>
        </is>
      </c>
      <c r="B777">
        <f>VLOOKUP(360,Requirements!A2:B2967,2,FALSE)</f>
        <v/>
      </c>
    </row>
    <row r="778">
      <c r="A778" t="inlineStr">
        <is>
          <t xml:space="preserve">able </t>
        </is>
      </c>
      <c r="B778">
        <f>VLOOKUP(412,Requirements!A2:B2967,2,FALSE)</f>
        <v/>
      </c>
    </row>
    <row r="779">
      <c r="A779" t="inlineStr">
        <is>
          <t xml:space="preserve">able </t>
        </is>
      </c>
      <c r="B779">
        <f>VLOOKUP(453,Requirements!A2:B2967,2,FALSE)</f>
        <v/>
      </c>
    </row>
    <row r="780">
      <c r="A780" t="inlineStr">
        <is>
          <t xml:space="preserve">able </t>
        </is>
      </c>
      <c r="B780">
        <f>VLOOKUP(456,Requirements!A2:B2967,2,FALSE)</f>
        <v/>
      </c>
    </row>
    <row r="781">
      <c r="A781" t="inlineStr">
        <is>
          <t xml:space="preserve">able </t>
        </is>
      </c>
      <c r="B781">
        <f>VLOOKUP(471,Requirements!A2:B2967,2,FALSE)</f>
        <v/>
      </c>
    </row>
    <row r="782">
      <c r="A782" t="inlineStr">
        <is>
          <t xml:space="preserve">able </t>
        </is>
      </c>
      <c r="B782">
        <f>VLOOKUP(539,Requirements!A2:B2967,2,FALSE)</f>
        <v/>
      </c>
    </row>
    <row r="783">
      <c r="A783" t="inlineStr">
        <is>
          <t xml:space="preserve">able </t>
        </is>
      </c>
      <c r="B783">
        <f>VLOOKUP(627,Requirements!A2:B2967,2,FALSE)</f>
        <v/>
      </c>
    </row>
    <row r="784">
      <c r="A784" t="inlineStr">
        <is>
          <t xml:space="preserve">able </t>
        </is>
      </c>
      <c r="B784">
        <f>VLOOKUP(664,Requirements!A2:B2967,2,FALSE)</f>
        <v/>
      </c>
    </row>
    <row r="785">
      <c r="A785" t="inlineStr">
        <is>
          <t xml:space="preserve">able </t>
        </is>
      </c>
      <c r="B785">
        <f>VLOOKUP(668,Requirements!A2:B2967,2,FALSE)</f>
        <v/>
      </c>
    </row>
    <row r="786">
      <c r="A786" t="inlineStr">
        <is>
          <t xml:space="preserve">able </t>
        </is>
      </c>
      <c r="B786">
        <f>VLOOKUP(669,Requirements!A2:B2967,2,FALSE)</f>
        <v/>
      </c>
    </row>
    <row r="787">
      <c r="A787" t="inlineStr">
        <is>
          <t xml:space="preserve">able </t>
        </is>
      </c>
      <c r="B787">
        <f>VLOOKUP(695,Requirements!A2:B2967,2,FALSE)</f>
        <v/>
      </c>
    </row>
    <row r="788">
      <c r="A788" t="inlineStr">
        <is>
          <t xml:space="preserve">able </t>
        </is>
      </c>
      <c r="B788">
        <f>VLOOKUP(703,Requirements!A2:B2967,2,FALSE)</f>
        <v/>
      </c>
    </row>
    <row r="789">
      <c r="A789" t="inlineStr">
        <is>
          <t xml:space="preserve">able </t>
        </is>
      </c>
      <c r="B789">
        <f>VLOOKUP(749,Requirements!A2:B2967,2,FALSE)</f>
        <v/>
      </c>
    </row>
    <row r="790">
      <c r="A790" t="inlineStr">
        <is>
          <t xml:space="preserve">able </t>
        </is>
      </c>
      <c r="B790">
        <f>VLOOKUP(796,Requirements!A2:B2967,2,FALSE)</f>
        <v/>
      </c>
    </row>
    <row r="791">
      <c r="A791" t="inlineStr">
        <is>
          <t xml:space="preserve">able </t>
        </is>
      </c>
      <c r="B791">
        <f>VLOOKUP(799,Requirements!A2:B2967,2,FALSE)</f>
        <v/>
      </c>
    </row>
    <row r="792">
      <c r="A792" t="inlineStr">
        <is>
          <t xml:space="preserve">able </t>
        </is>
      </c>
      <c r="B792">
        <f>VLOOKUP(817,Requirements!A2:B2967,2,FALSE)</f>
        <v/>
      </c>
    </row>
    <row r="793">
      <c r="A793" t="inlineStr">
        <is>
          <t xml:space="preserve">able </t>
        </is>
      </c>
      <c r="B793">
        <f>VLOOKUP(822,Requirements!A2:B2967,2,FALSE)</f>
        <v/>
      </c>
    </row>
    <row r="794">
      <c r="A794" t="inlineStr">
        <is>
          <t xml:space="preserve">able </t>
        </is>
      </c>
      <c r="B794">
        <f>VLOOKUP(856,Requirements!A2:B2967,2,FALSE)</f>
        <v/>
      </c>
    </row>
    <row r="795">
      <c r="A795" t="inlineStr">
        <is>
          <t xml:space="preserve">able </t>
        </is>
      </c>
      <c r="B795">
        <f>VLOOKUP(873,Requirements!A2:B2967,2,FALSE)</f>
        <v/>
      </c>
    </row>
    <row r="796">
      <c r="A796" t="inlineStr">
        <is>
          <t xml:space="preserve">able </t>
        </is>
      </c>
      <c r="B796">
        <f>VLOOKUP(875,Requirements!A2:B2967,2,FALSE)</f>
        <v/>
      </c>
    </row>
    <row r="797">
      <c r="A797" t="inlineStr">
        <is>
          <t xml:space="preserve">able </t>
        </is>
      </c>
      <c r="B797">
        <f>VLOOKUP(904,Requirements!A2:B2967,2,FALSE)</f>
        <v/>
      </c>
    </row>
    <row r="798">
      <c r="A798" t="inlineStr">
        <is>
          <t xml:space="preserve">able </t>
        </is>
      </c>
      <c r="B798">
        <f>VLOOKUP(923,Requirements!A2:B2967,2,FALSE)</f>
        <v/>
      </c>
    </row>
    <row r="799">
      <c r="A799" t="inlineStr">
        <is>
          <t xml:space="preserve">able </t>
        </is>
      </c>
      <c r="B799">
        <f>VLOOKUP(1010,Requirements!A2:B2967,2,FALSE)</f>
        <v/>
      </c>
    </row>
    <row r="800">
      <c r="A800" t="inlineStr">
        <is>
          <t xml:space="preserve">able </t>
        </is>
      </c>
      <c r="B800">
        <f>VLOOKUP(1035,Requirements!A2:B2967,2,FALSE)</f>
        <v/>
      </c>
    </row>
    <row r="801">
      <c r="A801" t="inlineStr">
        <is>
          <t xml:space="preserve">able </t>
        </is>
      </c>
      <c r="B801">
        <f>VLOOKUP(1080,Requirements!A2:B2967,2,FALSE)</f>
        <v/>
      </c>
    </row>
    <row r="802">
      <c r="A802" t="inlineStr">
        <is>
          <t xml:space="preserve">able </t>
        </is>
      </c>
      <c r="B802">
        <f>VLOOKUP(1094,Requirements!A2:B2967,2,FALSE)</f>
        <v/>
      </c>
    </row>
    <row r="803">
      <c r="A803" t="inlineStr">
        <is>
          <t xml:space="preserve">able </t>
        </is>
      </c>
      <c r="B803">
        <f>VLOOKUP(1099,Requirements!A2:B2967,2,FALSE)</f>
        <v/>
      </c>
    </row>
    <row r="804">
      <c r="A804" t="inlineStr">
        <is>
          <t xml:space="preserve">able </t>
        </is>
      </c>
      <c r="B804">
        <f>VLOOKUP(1161,Requirements!A2:B2967,2,FALSE)</f>
        <v/>
      </c>
    </row>
    <row r="805">
      <c r="A805" t="inlineStr">
        <is>
          <t xml:space="preserve">able </t>
        </is>
      </c>
      <c r="B805">
        <f>VLOOKUP(1162,Requirements!A2:B2967,2,FALSE)</f>
        <v/>
      </c>
    </row>
    <row r="806">
      <c r="A806" t="inlineStr">
        <is>
          <t xml:space="preserve">able </t>
        </is>
      </c>
      <c r="B806">
        <f>VLOOKUP(1163,Requirements!A2:B2967,2,FALSE)</f>
        <v/>
      </c>
    </row>
    <row r="807">
      <c r="A807" t="inlineStr">
        <is>
          <t xml:space="preserve">able </t>
        </is>
      </c>
      <c r="B807">
        <f>VLOOKUP(1165,Requirements!A2:B2967,2,FALSE)</f>
        <v/>
      </c>
    </row>
    <row r="808">
      <c r="A808" t="inlineStr">
        <is>
          <t xml:space="preserve">able </t>
        </is>
      </c>
      <c r="B808">
        <f>VLOOKUP(1202,Requirements!A2:B2967,2,FALSE)</f>
        <v/>
      </c>
    </row>
    <row r="809">
      <c r="A809" t="inlineStr">
        <is>
          <t xml:space="preserve">able </t>
        </is>
      </c>
      <c r="B809">
        <f>VLOOKUP(1223,Requirements!A2:B2967,2,FALSE)</f>
        <v/>
      </c>
    </row>
    <row r="810">
      <c r="A810" t="inlineStr">
        <is>
          <t xml:space="preserve">able </t>
        </is>
      </c>
      <c r="B810">
        <f>VLOOKUP(1227,Requirements!A2:B2967,2,FALSE)</f>
        <v/>
      </c>
    </row>
    <row r="811">
      <c r="A811" t="inlineStr">
        <is>
          <t xml:space="preserve">able </t>
        </is>
      </c>
      <c r="B811">
        <f>VLOOKUP(1331,Requirements!A2:B2967,2,FALSE)</f>
        <v/>
      </c>
    </row>
    <row r="812">
      <c r="A812" t="inlineStr">
        <is>
          <t xml:space="preserve">able </t>
        </is>
      </c>
      <c r="B812">
        <f>VLOOKUP(1337,Requirements!A2:B2967,2,FALSE)</f>
        <v/>
      </c>
    </row>
    <row r="813">
      <c r="A813" t="inlineStr">
        <is>
          <t xml:space="preserve">able </t>
        </is>
      </c>
      <c r="B813">
        <f>VLOOKUP(1348,Requirements!A2:B2967,2,FALSE)</f>
        <v/>
      </c>
    </row>
    <row r="814">
      <c r="A814" t="inlineStr">
        <is>
          <t xml:space="preserve">able </t>
        </is>
      </c>
      <c r="B814">
        <f>VLOOKUP(1350,Requirements!A2:B2967,2,FALSE)</f>
        <v/>
      </c>
    </row>
    <row r="815">
      <c r="A815" t="inlineStr">
        <is>
          <t xml:space="preserve">able </t>
        </is>
      </c>
      <c r="B815">
        <f>VLOOKUP(1397,Requirements!A2:B2967,2,FALSE)</f>
        <v/>
      </c>
    </row>
    <row r="816">
      <c r="A816" t="inlineStr">
        <is>
          <t xml:space="preserve">able </t>
        </is>
      </c>
      <c r="B816">
        <f>VLOOKUP(1401,Requirements!A2:B2967,2,FALSE)</f>
        <v/>
      </c>
    </row>
    <row r="817">
      <c r="A817" t="inlineStr">
        <is>
          <t xml:space="preserve">able </t>
        </is>
      </c>
      <c r="B817">
        <f>VLOOKUP(1413,Requirements!A2:B2967,2,FALSE)</f>
        <v/>
      </c>
    </row>
    <row r="818">
      <c r="A818" t="inlineStr">
        <is>
          <t xml:space="preserve">able </t>
        </is>
      </c>
      <c r="B818">
        <f>VLOOKUP(1421,Requirements!A2:B2967,2,FALSE)</f>
        <v/>
      </c>
    </row>
    <row r="819">
      <c r="A819" t="inlineStr">
        <is>
          <t xml:space="preserve">able </t>
        </is>
      </c>
      <c r="B819">
        <f>VLOOKUP(1432,Requirements!A2:B2967,2,FALSE)</f>
        <v/>
      </c>
    </row>
    <row r="820">
      <c r="A820" t="inlineStr">
        <is>
          <t xml:space="preserve">able </t>
        </is>
      </c>
      <c r="B820">
        <f>VLOOKUP(1438,Requirements!A2:B2967,2,FALSE)</f>
        <v/>
      </c>
    </row>
    <row r="821">
      <c r="A821" t="inlineStr">
        <is>
          <t xml:space="preserve">able </t>
        </is>
      </c>
      <c r="B821">
        <f>VLOOKUP(1484,Requirements!A2:B2967,2,FALSE)</f>
        <v/>
      </c>
    </row>
    <row r="822">
      <c r="A822" t="inlineStr">
        <is>
          <t xml:space="preserve">able </t>
        </is>
      </c>
      <c r="B822">
        <f>VLOOKUP(1495,Requirements!A2:B2967,2,FALSE)</f>
        <v/>
      </c>
    </row>
    <row r="823">
      <c r="A823" t="inlineStr">
        <is>
          <t xml:space="preserve">able </t>
        </is>
      </c>
      <c r="B823">
        <f>VLOOKUP(1513,Requirements!A2:B2967,2,FALSE)</f>
        <v/>
      </c>
    </row>
    <row r="824">
      <c r="A824" t="inlineStr">
        <is>
          <t xml:space="preserve">able </t>
        </is>
      </c>
      <c r="B824">
        <f>VLOOKUP(1517,Requirements!A2:B2967,2,FALSE)</f>
        <v/>
      </c>
    </row>
    <row r="825">
      <c r="A825" t="inlineStr">
        <is>
          <t xml:space="preserve">able </t>
        </is>
      </c>
      <c r="B825">
        <f>VLOOKUP(1586,Requirements!A2:B2967,2,FALSE)</f>
        <v/>
      </c>
    </row>
    <row r="826">
      <c r="A826" t="inlineStr">
        <is>
          <t xml:space="preserve">able </t>
        </is>
      </c>
      <c r="B826">
        <f>VLOOKUP(1657,Requirements!A2:B2967,2,FALSE)</f>
        <v/>
      </c>
    </row>
    <row r="827">
      <c r="A827" t="inlineStr">
        <is>
          <t xml:space="preserve">able </t>
        </is>
      </c>
      <c r="B827">
        <f>VLOOKUP(1669,Requirements!A2:B2967,2,FALSE)</f>
        <v/>
      </c>
    </row>
    <row r="828">
      <c r="A828" t="inlineStr">
        <is>
          <t xml:space="preserve">able </t>
        </is>
      </c>
      <c r="B828">
        <f>VLOOKUP(1746,Requirements!A2:B2967,2,FALSE)</f>
        <v/>
      </c>
    </row>
    <row r="829">
      <c r="A829" t="inlineStr">
        <is>
          <t xml:space="preserve">able </t>
        </is>
      </c>
      <c r="B829">
        <f>VLOOKUP(2025,Requirements!A2:B2967,2,FALSE)</f>
        <v/>
      </c>
    </row>
    <row r="830">
      <c r="A830" t="inlineStr">
        <is>
          <t xml:space="preserve">able </t>
        </is>
      </c>
      <c r="B830">
        <f>VLOOKUP(2046,Requirements!A2:B2967,2,FALSE)</f>
        <v/>
      </c>
    </row>
    <row r="831">
      <c r="A831" t="inlineStr">
        <is>
          <t xml:space="preserve">able </t>
        </is>
      </c>
      <c r="B831">
        <f>VLOOKUP(2062,Requirements!A2:B2967,2,FALSE)</f>
        <v/>
      </c>
    </row>
    <row r="832">
      <c r="A832" t="inlineStr">
        <is>
          <t xml:space="preserve">able </t>
        </is>
      </c>
      <c r="B832">
        <f>VLOOKUP(2098,Requirements!A2:B2967,2,FALSE)</f>
        <v/>
      </c>
    </row>
    <row r="833">
      <c r="A833" t="inlineStr">
        <is>
          <t xml:space="preserve">able </t>
        </is>
      </c>
      <c r="B833">
        <f>VLOOKUP(2100,Requirements!A2:B2967,2,FALSE)</f>
        <v/>
      </c>
    </row>
    <row r="834">
      <c r="A834" t="inlineStr">
        <is>
          <t xml:space="preserve">able </t>
        </is>
      </c>
      <c r="B834">
        <f>VLOOKUP(2115,Requirements!A2:B2967,2,FALSE)</f>
        <v/>
      </c>
    </row>
    <row r="835">
      <c r="A835" t="inlineStr">
        <is>
          <t xml:space="preserve">able </t>
        </is>
      </c>
      <c r="B835">
        <f>VLOOKUP(2164,Requirements!A2:B2967,2,FALSE)</f>
        <v/>
      </c>
    </row>
    <row r="836">
      <c r="A836" t="inlineStr">
        <is>
          <t xml:space="preserve">able </t>
        </is>
      </c>
      <c r="B836">
        <f>VLOOKUP(2184,Requirements!A2:B2967,2,FALSE)</f>
        <v/>
      </c>
    </row>
    <row r="837">
      <c r="A837" t="inlineStr">
        <is>
          <t xml:space="preserve">able </t>
        </is>
      </c>
      <c r="B837">
        <f>VLOOKUP(2186,Requirements!A2:B2967,2,FALSE)</f>
        <v/>
      </c>
    </row>
    <row r="838">
      <c r="A838" t="inlineStr">
        <is>
          <t xml:space="preserve">able </t>
        </is>
      </c>
      <c r="B838">
        <f>VLOOKUP(2193,Requirements!A2:B2967,2,FALSE)</f>
        <v/>
      </c>
    </row>
    <row r="839">
      <c r="A839" t="inlineStr">
        <is>
          <t xml:space="preserve">able </t>
        </is>
      </c>
      <c r="B839">
        <f>VLOOKUP(2215,Requirements!A2:B2967,2,FALSE)</f>
        <v/>
      </c>
    </row>
    <row r="840">
      <c r="A840" t="inlineStr">
        <is>
          <t xml:space="preserve">able </t>
        </is>
      </c>
      <c r="B840">
        <f>VLOOKUP(2246,Requirements!A2:B2967,2,FALSE)</f>
        <v/>
      </c>
    </row>
    <row r="841">
      <c r="A841" t="inlineStr">
        <is>
          <t xml:space="preserve">able </t>
        </is>
      </c>
      <c r="B841">
        <f>VLOOKUP(2250,Requirements!A2:B2967,2,FALSE)</f>
        <v/>
      </c>
    </row>
    <row r="842">
      <c r="A842" t="inlineStr">
        <is>
          <t xml:space="preserve">able </t>
        </is>
      </c>
      <c r="B842">
        <f>VLOOKUP(2263,Requirements!A2:B2967,2,FALSE)</f>
        <v/>
      </c>
    </row>
    <row r="843">
      <c r="A843" t="inlineStr">
        <is>
          <t xml:space="preserve">able </t>
        </is>
      </c>
      <c r="B843">
        <f>VLOOKUP(2275,Requirements!A2:B2967,2,FALSE)</f>
        <v/>
      </c>
    </row>
    <row r="844">
      <c r="A844" t="inlineStr">
        <is>
          <t xml:space="preserve">able </t>
        </is>
      </c>
      <c r="B844">
        <f>VLOOKUP(2282,Requirements!A2:B2967,2,FALSE)</f>
        <v/>
      </c>
    </row>
    <row r="845">
      <c r="A845" t="inlineStr">
        <is>
          <t xml:space="preserve">able </t>
        </is>
      </c>
      <c r="B845">
        <f>VLOOKUP(2286,Requirements!A2:B2967,2,FALSE)</f>
        <v/>
      </c>
    </row>
    <row r="846">
      <c r="A846" t="inlineStr">
        <is>
          <t xml:space="preserve">able </t>
        </is>
      </c>
      <c r="B846">
        <f>VLOOKUP(2295,Requirements!A2:B2967,2,FALSE)</f>
        <v/>
      </c>
    </row>
    <row r="847">
      <c r="A847" t="inlineStr">
        <is>
          <t xml:space="preserve">able </t>
        </is>
      </c>
      <c r="B847">
        <f>VLOOKUP(2304,Requirements!A2:B2967,2,FALSE)</f>
        <v/>
      </c>
    </row>
    <row r="848">
      <c r="A848" t="inlineStr">
        <is>
          <t xml:space="preserve">able </t>
        </is>
      </c>
      <c r="B848">
        <f>VLOOKUP(2326,Requirements!A2:B2967,2,FALSE)</f>
        <v/>
      </c>
    </row>
    <row r="849">
      <c r="A849" t="inlineStr">
        <is>
          <t xml:space="preserve">able </t>
        </is>
      </c>
      <c r="B849">
        <f>VLOOKUP(2330,Requirements!A2:B2967,2,FALSE)</f>
        <v/>
      </c>
    </row>
    <row r="850">
      <c r="A850" t="inlineStr">
        <is>
          <t xml:space="preserve">able </t>
        </is>
      </c>
      <c r="B850">
        <f>VLOOKUP(2334,Requirements!A2:B2967,2,FALSE)</f>
        <v/>
      </c>
    </row>
    <row r="851">
      <c r="A851" t="inlineStr">
        <is>
          <t xml:space="preserve">able </t>
        </is>
      </c>
      <c r="B851">
        <f>VLOOKUP(2337,Requirements!A2:B2967,2,FALSE)</f>
        <v/>
      </c>
    </row>
    <row r="852">
      <c r="A852" t="inlineStr">
        <is>
          <t xml:space="preserve">able </t>
        </is>
      </c>
      <c r="B852">
        <f>VLOOKUP(2358,Requirements!A2:B2967,2,FALSE)</f>
        <v/>
      </c>
    </row>
    <row r="853">
      <c r="A853" t="inlineStr">
        <is>
          <t xml:space="preserve">able </t>
        </is>
      </c>
      <c r="B853">
        <f>VLOOKUP(2372,Requirements!A2:B2967,2,FALSE)</f>
        <v/>
      </c>
    </row>
    <row r="854">
      <c r="A854" t="inlineStr">
        <is>
          <t xml:space="preserve">able </t>
        </is>
      </c>
      <c r="B854">
        <f>VLOOKUP(2410,Requirements!A2:B2967,2,FALSE)</f>
        <v/>
      </c>
    </row>
    <row r="855">
      <c r="A855" t="inlineStr">
        <is>
          <t xml:space="preserve">able </t>
        </is>
      </c>
      <c r="B855">
        <f>VLOOKUP(2433,Requirements!A2:B2967,2,FALSE)</f>
        <v/>
      </c>
    </row>
    <row r="856">
      <c r="A856" t="inlineStr">
        <is>
          <t xml:space="preserve">able </t>
        </is>
      </c>
      <c r="B856">
        <f>VLOOKUP(2434,Requirements!A2:B2967,2,FALSE)</f>
        <v/>
      </c>
    </row>
    <row r="857">
      <c r="A857" t="inlineStr">
        <is>
          <t xml:space="preserve">able </t>
        </is>
      </c>
      <c r="B857">
        <f>VLOOKUP(2438,Requirements!A2:B2967,2,FALSE)</f>
        <v/>
      </c>
    </row>
    <row r="858">
      <c r="A858" t="inlineStr">
        <is>
          <t xml:space="preserve">able </t>
        </is>
      </c>
      <c r="B858">
        <f>VLOOKUP(2548,Requirements!A2:B2967,2,FALSE)</f>
        <v/>
      </c>
    </row>
    <row r="859">
      <c r="A859" t="inlineStr">
        <is>
          <t xml:space="preserve">able </t>
        </is>
      </c>
      <c r="B859">
        <f>VLOOKUP(2623,Requirements!A2:B2967,2,FALSE)</f>
        <v/>
      </c>
    </row>
    <row r="860">
      <c r="A860" t="inlineStr">
        <is>
          <t xml:space="preserve">able </t>
        </is>
      </c>
      <c r="B860">
        <f>VLOOKUP(2630,Requirements!A2:B2967,2,FALSE)</f>
        <v/>
      </c>
    </row>
    <row r="861">
      <c r="A861" t="inlineStr">
        <is>
          <t xml:space="preserve">able </t>
        </is>
      </c>
      <c r="B861">
        <f>VLOOKUP(2632,Requirements!A2:B2967,2,FALSE)</f>
        <v/>
      </c>
    </row>
    <row r="862">
      <c r="A862" t="inlineStr">
        <is>
          <t xml:space="preserve">able </t>
        </is>
      </c>
      <c r="B862">
        <f>VLOOKUP(2639,Requirements!A2:B2967,2,FALSE)</f>
        <v/>
      </c>
    </row>
    <row r="863">
      <c r="A863" t="inlineStr">
        <is>
          <t xml:space="preserve">able </t>
        </is>
      </c>
      <c r="B863">
        <f>VLOOKUP(2799,Requirements!A2:B2967,2,FALSE)</f>
        <v/>
      </c>
    </row>
    <row r="864">
      <c r="A864" t="inlineStr">
        <is>
          <t xml:space="preserve">able </t>
        </is>
      </c>
      <c r="B864">
        <f>VLOOKUP(2801,Requirements!A2:B2967,2,FALSE)</f>
        <v/>
      </c>
    </row>
    <row r="865">
      <c r="A865" t="inlineStr">
        <is>
          <t xml:space="preserve">able </t>
        </is>
      </c>
      <c r="B865">
        <f>VLOOKUP(2804,Requirements!A2:B2967,2,FALSE)</f>
        <v/>
      </c>
    </row>
    <row r="866">
      <c r="A866" t="inlineStr">
        <is>
          <t xml:space="preserve">able </t>
        </is>
      </c>
      <c r="B866">
        <f>VLOOKUP(2806,Requirements!A2:B2967,2,FALSE)</f>
        <v/>
      </c>
    </row>
    <row r="867">
      <c r="A867" t="inlineStr">
        <is>
          <t xml:space="preserve">able </t>
        </is>
      </c>
      <c r="B867">
        <f>VLOOKUP(2809,Requirements!A2:B2967,2,FALSE)</f>
        <v/>
      </c>
    </row>
    <row r="868">
      <c r="A868" t="inlineStr">
        <is>
          <t xml:space="preserve">able </t>
        </is>
      </c>
      <c r="B868">
        <f>VLOOKUP(2811,Requirements!A2:B2967,2,FALSE)</f>
        <v/>
      </c>
    </row>
    <row r="869">
      <c r="A869" t="inlineStr">
        <is>
          <t xml:space="preserve">able </t>
        </is>
      </c>
      <c r="B869">
        <f>VLOOKUP(2911,Requirements!A2:B2967,2,FALSE)</f>
        <v/>
      </c>
    </row>
    <row r="870">
      <c r="A870" t="inlineStr">
        <is>
          <t xml:space="preserve">able </t>
        </is>
      </c>
      <c r="B870">
        <f>VLOOKUP(3040,Requirements!A2:B2967,2,FALSE)</f>
        <v/>
      </c>
    </row>
    <row r="871">
      <c r="A871" t="inlineStr">
        <is>
          <t xml:space="preserve">able </t>
        </is>
      </c>
      <c r="B871">
        <f>VLOOKUP(3123,Requirements!A2:B2967,2,FALSE)</f>
        <v/>
      </c>
    </row>
    <row r="872">
      <c r="A872" t="inlineStr">
        <is>
          <t xml:space="preserve">able </t>
        </is>
      </c>
      <c r="B872">
        <f>VLOOKUP(3136,Requirements!A2:B2967,2,FALSE)</f>
        <v/>
      </c>
    </row>
    <row r="873">
      <c r="A873" t="inlineStr">
        <is>
          <t xml:space="preserve">able </t>
        </is>
      </c>
      <c r="B873">
        <f>VLOOKUP(3241,Requirements!A2:B2967,2,FALSE)</f>
        <v/>
      </c>
    </row>
    <row r="874">
      <c r="A874" t="inlineStr">
        <is>
          <t xml:space="preserve">able </t>
        </is>
      </c>
      <c r="B874">
        <f>VLOOKUP(3249,Requirements!A2:B2967,2,FALSE)</f>
        <v/>
      </c>
    </row>
    <row r="875">
      <c r="A875" t="inlineStr">
        <is>
          <t xml:space="preserve">able </t>
        </is>
      </c>
      <c r="B875">
        <f>VLOOKUP(3261,Requirements!A2:B2967,2,FALSE)</f>
        <v/>
      </c>
    </row>
    <row r="876">
      <c r="A876" t="inlineStr">
        <is>
          <t xml:space="preserve">dinner </t>
        </is>
      </c>
      <c r="B876">
        <f>VLOOKUP(11,Requirements!A2:B2967,2,FALSE)</f>
        <v/>
      </c>
    </row>
    <row r="877">
      <c r="A877" t="inlineStr">
        <is>
          <t xml:space="preserve">dinner </t>
        </is>
      </c>
      <c r="B877">
        <f>VLOOKUP(234,Requirements!A2:B2967,2,FALSE)</f>
        <v/>
      </c>
    </row>
    <row r="878">
      <c r="A878" t="inlineStr">
        <is>
          <t xml:space="preserve">dinner </t>
        </is>
      </c>
      <c r="B878">
        <f>VLOOKUP(291,Requirements!A2:B2967,2,FALSE)</f>
        <v/>
      </c>
    </row>
    <row r="879">
      <c r="A879" t="inlineStr">
        <is>
          <t xml:space="preserve">dinner </t>
        </is>
      </c>
      <c r="B879">
        <f>VLOOKUP(791,Requirements!A2:B2967,2,FALSE)</f>
        <v/>
      </c>
    </row>
    <row r="880">
      <c r="A880" t="inlineStr">
        <is>
          <t xml:space="preserve">dinner </t>
        </is>
      </c>
      <c r="B880">
        <f>VLOOKUP(792,Requirements!A2:B2967,2,FALSE)</f>
        <v/>
      </c>
    </row>
    <row r="881">
      <c r="A881" t="inlineStr">
        <is>
          <t xml:space="preserve">dinner </t>
        </is>
      </c>
      <c r="B881">
        <f>VLOOKUP(1167,Requirements!A2:B2967,2,FALSE)</f>
        <v/>
      </c>
    </row>
    <row r="882">
      <c r="A882" t="inlineStr">
        <is>
          <t xml:space="preserve">dinner </t>
        </is>
      </c>
      <c r="B882">
        <f>VLOOKUP(1179,Requirements!A2:B2967,2,FALSE)</f>
        <v/>
      </c>
    </row>
    <row r="883">
      <c r="A883" t="inlineStr">
        <is>
          <t xml:space="preserve">dinner </t>
        </is>
      </c>
      <c r="B883">
        <f>VLOOKUP(1489,Requirements!A2:B2967,2,FALSE)</f>
        <v/>
      </c>
    </row>
    <row r="884">
      <c r="A884" t="inlineStr">
        <is>
          <t xml:space="preserve">dinner </t>
        </is>
      </c>
      <c r="B884">
        <f>VLOOKUP(1599,Requirements!A2:B2967,2,FALSE)</f>
        <v/>
      </c>
    </row>
    <row r="885">
      <c r="A885" t="inlineStr">
        <is>
          <t xml:space="preserve">dinner </t>
        </is>
      </c>
      <c r="B885">
        <f>VLOOKUP(1610,Requirements!A2:B2967,2,FALSE)</f>
        <v/>
      </c>
    </row>
    <row r="886">
      <c r="A886" t="inlineStr">
        <is>
          <t xml:space="preserve">dinner </t>
        </is>
      </c>
      <c r="B886">
        <f>VLOOKUP(2004,Requirements!A2:B2967,2,FALSE)</f>
        <v/>
      </c>
    </row>
    <row r="887">
      <c r="A887" t="inlineStr">
        <is>
          <t xml:space="preserve">dinner </t>
        </is>
      </c>
      <c r="B887">
        <f>VLOOKUP(2046,Requirements!A2:B2967,2,FALSE)</f>
        <v/>
      </c>
    </row>
    <row r="888">
      <c r="A888" t="inlineStr">
        <is>
          <t xml:space="preserve">dinner </t>
        </is>
      </c>
      <c r="B888">
        <f>VLOOKUP(2442,Requirements!A2:B2967,2,FALSE)</f>
        <v/>
      </c>
    </row>
    <row r="889">
      <c r="A889" t="inlineStr">
        <is>
          <t xml:space="preserve">dinner </t>
        </is>
      </c>
      <c r="B889">
        <f>VLOOKUP(2650,Requirements!A2:B2967,2,FALSE)</f>
        <v/>
      </c>
    </row>
    <row r="890">
      <c r="A890" t="inlineStr">
        <is>
          <t xml:space="preserve">work </t>
        </is>
      </c>
      <c r="B890">
        <f>VLOOKUP(11,Requirements!A2:B2967,2,FALSE)</f>
        <v/>
      </c>
    </row>
    <row r="891">
      <c r="A891" t="inlineStr">
        <is>
          <t xml:space="preserve">work </t>
        </is>
      </c>
      <c r="B891">
        <f>VLOOKUP(13,Requirements!A2:B2967,2,FALSE)</f>
        <v/>
      </c>
    </row>
    <row r="892">
      <c r="A892" t="inlineStr">
        <is>
          <t xml:space="preserve">work </t>
        </is>
      </c>
      <c r="B892">
        <f>VLOOKUP(282,Requirements!A2:B2967,2,FALSE)</f>
        <v/>
      </c>
    </row>
    <row r="893">
      <c r="A893" t="inlineStr">
        <is>
          <t xml:space="preserve">work </t>
        </is>
      </c>
      <c r="B893">
        <f>VLOOKUP(288,Requirements!A2:B2967,2,FALSE)</f>
        <v/>
      </c>
    </row>
    <row r="894">
      <c r="A894" t="inlineStr">
        <is>
          <t xml:space="preserve">work </t>
        </is>
      </c>
      <c r="B894">
        <f>VLOOKUP(373,Requirements!A2:B2967,2,FALSE)</f>
        <v/>
      </c>
    </row>
    <row r="895">
      <c r="A895" t="inlineStr">
        <is>
          <t xml:space="preserve">work </t>
        </is>
      </c>
      <c r="B895">
        <f>VLOOKUP(394,Requirements!A2:B2967,2,FALSE)</f>
        <v/>
      </c>
    </row>
    <row r="896">
      <c r="A896" t="inlineStr">
        <is>
          <t xml:space="preserve">work </t>
        </is>
      </c>
      <c r="B896">
        <f>VLOOKUP(415,Requirements!A2:B2967,2,FALSE)</f>
        <v/>
      </c>
    </row>
    <row r="897">
      <c r="A897" t="inlineStr">
        <is>
          <t xml:space="preserve">work </t>
        </is>
      </c>
      <c r="B897">
        <f>VLOOKUP(546,Requirements!A2:B2967,2,FALSE)</f>
        <v/>
      </c>
    </row>
    <row r="898">
      <c r="A898" t="inlineStr">
        <is>
          <t xml:space="preserve">work </t>
        </is>
      </c>
      <c r="B898">
        <f>VLOOKUP(782,Requirements!A2:B2967,2,FALSE)</f>
        <v/>
      </c>
    </row>
    <row r="899">
      <c r="A899" t="inlineStr">
        <is>
          <t xml:space="preserve">work </t>
        </is>
      </c>
      <c r="B899">
        <f>VLOOKUP(789,Requirements!A2:B2967,2,FALSE)</f>
        <v/>
      </c>
    </row>
    <row r="900">
      <c r="A900" t="inlineStr">
        <is>
          <t xml:space="preserve">work </t>
        </is>
      </c>
      <c r="B900">
        <f>VLOOKUP(861,Requirements!A2:B2967,2,FALSE)</f>
        <v/>
      </c>
    </row>
    <row r="901">
      <c r="A901" t="inlineStr">
        <is>
          <t xml:space="preserve">work </t>
        </is>
      </c>
      <c r="B901">
        <f>VLOOKUP(922,Requirements!A2:B2967,2,FALSE)</f>
        <v/>
      </c>
    </row>
    <row r="902">
      <c r="A902" t="inlineStr">
        <is>
          <t xml:space="preserve">work </t>
        </is>
      </c>
      <c r="B902">
        <f>VLOOKUP(949,Requirements!A2:B2967,2,FALSE)</f>
        <v/>
      </c>
    </row>
    <row r="903">
      <c r="A903" t="inlineStr">
        <is>
          <t xml:space="preserve">work </t>
        </is>
      </c>
      <c r="B903">
        <f>VLOOKUP(965,Requirements!A2:B2967,2,FALSE)</f>
        <v/>
      </c>
    </row>
    <row r="904">
      <c r="A904" t="inlineStr">
        <is>
          <t xml:space="preserve">work </t>
        </is>
      </c>
      <c r="B904">
        <f>VLOOKUP(1000,Requirements!A2:B2967,2,FALSE)</f>
        <v/>
      </c>
    </row>
    <row r="905">
      <c r="A905" t="inlineStr">
        <is>
          <t xml:space="preserve">work </t>
        </is>
      </c>
      <c r="B905">
        <f>VLOOKUP(1005,Requirements!A2:B2967,2,FALSE)</f>
        <v/>
      </c>
    </row>
    <row r="906">
      <c r="A906" t="inlineStr">
        <is>
          <t xml:space="preserve">work </t>
        </is>
      </c>
      <c r="B906">
        <f>VLOOKUP(1108,Requirements!A2:B2967,2,FALSE)</f>
        <v/>
      </c>
    </row>
    <row r="907">
      <c r="A907" t="inlineStr">
        <is>
          <t xml:space="preserve">work </t>
        </is>
      </c>
      <c r="B907">
        <f>VLOOKUP(1142,Requirements!A2:B2967,2,FALSE)</f>
        <v/>
      </c>
    </row>
    <row r="908">
      <c r="A908" t="inlineStr">
        <is>
          <t xml:space="preserve">work </t>
        </is>
      </c>
      <c r="B908">
        <f>VLOOKUP(1168,Requirements!A2:B2967,2,FALSE)</f>
        <v/>
      </c>
    </row>
    <row r="909">
      <c r="A909" t="inlineStr">
        <is>
          <t xml:space="preserve">work </t>
        </is>
      </c>
      <c r="B909">
        <f>VLOOKUP(1242,Requirements!A2:B2967,2,FALSE)</f>
        <v/>
      </c>
    </row>
    <row r="910">
      <c r="A910" t="inlineStr">
        <is>
          <t xml:space="preserve">work </t>
        </is>
      </c>
      <c r="B910">
        <f>VLOOKUP(1281,Requirements!A2:B2967,2,FALSE)</f>
        <v/>
      </c>
    </row>
    <row r="911">
      <c r="A911" t="inlineStr">
        <is>
          <t xml:space="preserve">work </t>
        </is>
      </c>
      <c r="B911">
        <f>VLOOKUP(1282,Requirements!A2:B2967,2,FALSE)</f>
        <v/>
      </c>
    </row>
    <row r="912">
      <c r="A912" t="inlineStr">
        <is>
          <t xml:space="preserve">work </t>
        </is>
      </c>
      <c r="B912">
        <f>VLOOKUP(1331,Requirements!A2:B2967,2,FALSE)</f>
        <v/>
      </c>
    </row>
    <row r="913">
      <c r="A913" t="inlineStr">
        <is>
          <t xml:space="preserve">work </t>
        </is>
      </c>
      <c r="B913">
        <f>VLOOKUP(1409,Requirements!A2:B2967,2,FALSE)</f>
        <v/>
      </c>
    </row>
    <row r="914">
      <c r="A914" t="inlineStr">
        <is>
          <t xml:space="preserve">work </t>
        </is>
      </c>
      <c r="B914">
        <f>VLOOKUP(1444,Requirements!A2:B2967,2,FALSE)</f>
        <v/>
      </c>
    </row>
    <row r="915">
      <c r="A915" t="inlineStr">
        <is>
          <t xml:space="preserve">work </t>
        </is>
      </c>
      <c r="B915">
        <f>VLOOKUP(1489,Requirements!A2:B2967,2,FALSE)</f>
        <v/>
      </c>
    </row>
    <row r="916">
      <c r="A916" t="inlineStr">
        <is>
          <t xml:space="preserve">work </t>
        </is>
      </c>
      <c r="B916">
        <f>VLOOKUP(1549,Requirements!A2:B2967,2,FALSE)</f>
        <v/>
      </c>
    </row>
    <row r="917">
      <c r="A917" t="inlineStr">
        <is>
          <t xml:space="preserve">work </t>
        </is>
      </c>
      <c r="B917">
        <f>VLOOKUP(1589,Requirements!A2:B2967,2,FALSE)</f>
        <v/>
      </c>
    </row>
    <row r="918">
      <c r="A918" t="inlineStr">
        <is>
          <t xml:space="preserve">work </t>
        </is>
      </c>
      <c r="B918">
        <f>VLOOKUP(1708,Requirements!A2:B2967,2,FALSE)</f>
        <v/>
      </c>
    </row>
    <row r="919">
      <c r="A919" t="inlineStr">
        <is>
          <t xml:space="preserve">work </t>
        </is>
      </c>
      <c r="B919">
        <f>VLOOKUP(1719,Requirements!A2:B2967,2,FALSE)</f>
        <v/>
      </c>
    </row>
    <row r="920">
      <c r="A920" t="inlineStr">
        <is>
          <t xml:space="preserve">work </t>
        </is>
      </c>
      <c r="B920">
        <f>VLOOKUP(1780,Requirements!A2:B2967,2,FALSE)</f>
        <v/>
      </c>
    </row>
    <row r="921">
      <c r="A921" t="inlineStr">
        <is>
          <t xml:space="preserve">work </t>
        </is>
      </c>
      <c r="B921">
        <f>VLOOKUP(1847,Requirements!A2:B2967,2,FALSE)</f>
        <v/>
      </c>
    </row>
    <row r="922">
      <c r="A922" t="inlineStr">
        <is>
          <t xml:space="preserve">work </t>
        </is>
      </c>
      <c r="B922">
        <f>VLOOKUP(1906,Requirements!A2:B2967,2,FALSE)</f>
        <v/>
      </c>
    </row>
    <row r="923">
      <c r="A923" t="inlineStr">
        <is>
          <t xml:space="preserve">work </t>
        </is>
      </c>
      <c r="B923">
        <f>VLOOKUP(1993,Requirements!A2:B2967,2,FALSE)</f>
        <v/>
      </c>
    </row>
    <row r="924">
      <c r="A924" t="inlineStr">
        <is>
          <t xml:space="preserve">work </t>
        </is>
      </c>
      <c r="B924">
        <f>VLOOKUP(2106,Requirements!A2:B2967,2,FALSE)</f>
        <v/>
      </c>
    </row>
    <row r="925">
      <c r="A925" t="inlineStr">
        <is>
          <t xml:space="preserve">work </t>
        </is>
      </c>
      <c r="B925">
        <f>VLOOKUP(2253,Requirements!A2:B2967,2,FALSE)</f>
        <v/>
      </c>
    </row>
    <row r="926">
      <c r="A926" t="inlineStr">
        <is>
          <t xml:space="preserve">work </t>
        </is>
      </c>
      <c r="B926">
        <f>VLOOKUP(2260,Requirements!A2:B2967,2,FALSE)</f>
        <v/>
      </c>
    </row>
    <row r="927">
      <c r="A927" t="inlineStr">
        <is>
          <t xml:space="preserve">work </t>
        </is>
      </c>
      <c r="B927">
        <f>VLOOKUP(2269,Requirements!A2:B2967,2,FALSE)</f>
        <v/>
      </c>
    </row>
    <row r="928">
      <c r="A928" t="inlineStr">
        <is>
          <t xml:space="preserve">work </t>
        </is>
      </c>
      <c r="B928">
        <f>VLOOKUP(2346,Requirements!A2:B2967,2,FALSE)</f>
        <v/>
      </c>
    </row>
    <row r="929">
      <c r="A929" t="inlineStr">
        <is>
          <t xml:space="preserve">work </t>
        </is>
      </c>
      <c r="B929">
        <f>VLOOKUP(2454,Requirements!A2:B2967,2,FALSE)</f>
        <v/>
      </c>
    </row>
    <row r="930">
      <c r="A930" t="inlineStr">
        <is>
          <t xml:space="preserve">work </t>
        </is>
      </c>
      <c r="B930">
        <f>VLOOKUP(2474,Requirements!A2:B2967,2,FALSE)</f>
        <v/>
      </c>
    </row>
    <row r="931">
      <c r="A931" t="inlineStr">
        <is>
          <t xml:space="preserve">work </t>
        </is>
      </c>
      <c r="B931">
        <f>VLOOKUP(2566,Requirements!A2:B2967,2,FALSE)</f>
        <v/>
      </c>
    </row>
    <row r="932">
      <c r="A932" t="inlineStr">
        <is>
          <t xml:space="preserve">work </t>
        </is>
      </c>
      <c r="B932">
        <f>VLOOKUP(2571,Requirements!A2:B2967,2,FALSE)</f>
        <v/>
      </c>
    </row>
    <row r="933">
      <c r="A933" t="inlineStr">
        <is>
          <t xml:space="preserve">work </t>
        </is>
      </c>
      <c r="B933">
        <f>VLOOKUP(2575,Requirements!A2:B2967,2,FALSE)</f>
        <v/>
      </c>
    </row>
    <row r="934">
      <c r="A934" t="inlineStr">
        <is>
          <t xml:space="preserve">work </t>
        </is>
      </c>
      <c r="B934">
        <f>VLOOKUP(2584,Requirements!A2:B2967,2,FALSE)</f>
        <v/>
      </c>
    </row>
    <row r="935">
      <c r="A935" t="inlineStr">
        <is>
          <t xml:space="preserve">work </t>
        </is>
      </c>
      <c r="B935">
        <f>VLOOKUP(2589,Requirements!A2:B2967,2,FALSE)</f>
        <v/>
      </c>
    </row>
    <row r="936">
      <c r="A936" t="inlineStr">
        <is>
          <t xml:space="preserve">work </t>
        </is>
      </c>
      <c r="B936">
        <f>VLOOKUP(2716,Requirements!A2:B2967,2,FALSE)</f>
        <v/>
      </c>
    </row>
    <row r="937">
      <c r="A937" t="inlineStr">
        <is>
          <t xml:space="preserve">work </t>
        </is>
      </c>
      <c r="B937">
        <f>VLOOKUP(2804,Requirements!A2:B2967,2,FALSE)</f>
        <v/>
      </c>
    </row>
    <row r="938">
      <c r="A938" t="inlineStr">
        <is>
          <t xml:space="preserve">work </t>
        </is>
      </c>
      <c r="B938">
        <f>VLOOKUP(2837,Requirements!A2:B2967,2,FALSE)</f>
        <v/>
      </c>
    </row>
    <row r="939">
      <c r="A939" t="inlineStr">
        <is>
          <t xml:space="preserve">work </t>
        </is>
      </c>
      <c r="B939">
        <f>VLOOKUP(3036,Requirements!A2:B2967,2,FALSE)</f>
        <v/>
      </c>
    </row>
    <row r="940">
      <c r="A940" t="inlineStr">
        <is>
          <t xml:space="preserve">work </t>
        </is>
      </c>
      <c r="B940">
        <f>VLOOKUP(3194,Requirements!A2:B2967,2,FALSE)</f>
        <v/>
      </c>
    </row>
    <row r="941">
      <c r="A941" t="inlineStr">
        <is>
          <t xml:space="preserve">work </t>
        </is>
      </c>
      <c r="B941">
        <f>VLOOKUP(3248,Requirements!A2:B2967,2,FALSE)</f>
        <v/>
      </c>
    </row>
    <row r="942">
      <c r="A942" t="inlineStr">
        <is>
          <t xml:space="preserve">home occupant </t>
        </is>
      </c>
      <c r="B942">
        <f>VLOOKUP(12,Requirements!A2:B2967,2,FALSE)</f>
        <v/>
      </c>
    </row>
    <row r="943">
      <c r="A943" t="inlineStr">
        <is>
          <t xml:space="preserve">home occupant </t>
        </is>
      </c>
      <c r="B943">
        <f>VLOOKUP(17,Requirements!A2:B2967,2,FALSE)</f>
        <v/>
      </c>
    </row>
    <row r="944">
      <c r="A944" t="inlineStr">
        <is>
          <t xml:space="preserve">home occupant </t>
        </is>
      </c>
      <c r="B944">
        <f>VLOOKUP(23,Requirements!A2:B2967,2,FALSE)</f>
        <v/>
      </c>
    </row>
    <row r="945">
      <c r="A945" t="inlineStr">
        <is>
          <t xml:space="preserve">home occupant </t>
        </is>
      </c>
      <c r="B945">
        <f>VLOOKUP(24,Requirements!A2:B2967,2,FALSE)</f>
        <v/>
      </c>
    </row>
    <row r="946">
      <c r="A946" t="inlineStr">
        <is>
          <t xml:space="preserve">home occupant </t>
        </is>
      </c>
      <c r="B946">
        <f>VLOOKUP(25,Requirements!A2:B2967,2,FALSE)</f>
        <v/>
      </c>
    </row>
    <row r="947">
      <c r="A947" t="inlineStr">
        <is>
          <t xml:space="preserve">home occupant </t>
        </is>
      </c>
      <c r="B947">
        <f>VLOOKUP(26,Requirements!A2:B2967,2,FALSE)</f>
        <v/>
      </c>
    </row>
    <row r="948">
      <c r="A948" t="inlineStr">
        <is>
          <t xml:space="preserve">home occupant </t>
        </is>
      </c>
      <c r="B948">
        <f>VLOOKUP(28,Requirements!A2:B2967,2,FALSE)</f>
        <v/>
      </c>
    </row>
    <row r="949">
      <c r="A949" t="inlineStr">
        <is>
          <t xml:space="preserve">home occupant </t>
        </is>
      </c>
      <c r="B949">
        <f>VLOOKUP(31,Requirements!A2:B2967,2,FALSE)</f>
        <v/>
      </c>
    </row>
    <row r="950">
      <c r="A950" t="inlineStr">
        <is>
          <t xml:space="preserve">home occupant </t>
        </is>
      </c>
      <c r="B950">
        <f>VLOOKUP(34,Requirements!A2:B2967,2,FALSE)</f>
        <v/>
      </c>
    </row>
    <row r="951">
      <c r="A951" t="inlineStr">
        <is>
          <t xml:space="preserve">home occupant </t>
        </is>
      </c>
      <c r="B951">
        <f>VLOOKUP(35,Requirements!A2:B2967,2,FALSE)</f>
        <v/>
      </c>
    </row>
    <row r="952">
      <c r="A952" t="inlineStr">
        <is>
          <t xml:space="preserve">home occupant </t>
        </is>
      </c>
      <c r="B952">
        <f>VLOOKUP(40,Requirements!A2:B2967,2,FALSE)</f>
        <v/>
      </c>
    </row>
    <row r="953">
      <c r="A953" t="inlineStr">
        <is>
          <t xml:space="preserve">home occupant </t>
        </is>
      </c>
      <c r="B953">
        <f>VLOOKUP(41,Requirements!A2:B2967,2,FALSE)</f>
        <v/>
      </c>
    </row>
    <row r="954">
      <c r="A954" t="inlineStr">
        <is>
          <t xml:space="preserve">home occupant </t>
        </is>
      </c>
      <c r="B954">
        <f>VLOOKUP(44,Requirements!A2:B2967,2,FALSE)</f>
        <v/>
      </c>
    </row>
    <row r="955">
      <c r="A955" t="inlineStr">
        <is>
          <t xml:space="preserve">home occupant </t>
        </is>
      </c>
      <c r="B955">
        <f>VLOOKUP(45,Requirements!A2:B2967,2,FALSE)</f>
        <v/>
      </c>
    </row>
    <row r="956">
      <c r="A956" t="inlineStr">
        <is>
          <t xml:space="preserve">home occupant </t>
        </is>
      </c>
      <c r="B956">
        <f>VLOOKUP(47,Requirements!A2:B2967,2,FALSE)</f>
        <v/>
      </c>
    </row>
    <row r="957">
      <c r="A957" t="inlineStr">
        <is>
          <t xml:space="preserve">home occupant </t>
        </is>
      </c>
      <c r="B957">
        <f>VLOOKUP(48,Requirements!A2:B2967,2,FALSE)</f>
        <v/>
      </c>
    </row>
    <row r="958">
      <c r="A958" t="inlineStr">
        <is>
          <t xml:space="preserve">home occupant </t>
        </is>
      </c>
      <c r="B958">
        <f>VLOOKUP(60,Requirements!A2:B2967,2,FALSE)</f>
        <v/>
      </c>
    </row>
    <row r="959">
      <c r="A959" t="inlineStr">
        <is>
          <t xml:space="preserve">home occupant </t>
        </is>
      </c>
      <c r="B959">
        <f>VLOOKUP(62,Requirements!A2:B2967,2,FALSE)</f>
        <v/>
      </c>
    </row>
    <row r="960">
      <c r="A960" t="inlineStr">
        <is>
          <t xml:space="preserve">home occupant </t>
        </is>
      </c>
      <c r="B960">
        <f>VLOOKUP(63,Requirements!A2:B2967,2,FALSE)</f>
        <v/>
      </c>
    </row>
    <row r="961">
      <c r="A961" t="inlineStr">
        <is>
          <t xml:space="preserve">home occupant </t>
        </is>
      </c>
      <c r="B961">
        <f>VLOOKUP(71,Requirements!A2:B2967,2,FALSE)</f>
        <v/>
      </c>
    </row>
    <row r="962">
      <c r="A962" t="inlineStr">
        <is>
          <t xml:space="preserve">home occupant </t>
        </is>
      </c>
      <c r="B962">
        <f>VLOOKUP(83,Requirements!A2:B2967,2,FALSE)</f>
        <v/>
      </c>
    </row>
    <row r="963">
      <c r="A963" t="inlineStr">
        <is>
          <t xml:space="preserve">home occupant </t>
        </is>
      </c>
      <c r="B963">
        <f>VLOOKUP(86,Requirements!A2:B2967,2,FALSE)</f>
        <v/>
      </c>
    </row>
    <row r="964">
      <c r="A964" t="inlineStr">
        <is>
          <t xml:space="preserve">home occupant </t>
        </is>
      </c>
      <c r="B964">
        <f>VLOOKUP(88,Requirements!A2:B2967,2,FALSE)</f>
        <v/>
      </c>
    </row>
    <row r="965">
      <c r="A965" t="inlineStr">
        <is>
          <t xml:space="preserve">home occupant </t>
        </is>
      </c>
      <c r="B965">
        <f>VLOOKUP(90,Requirements!A2:B2967,2,FALSE)</f>
        <v/>
      </c>
    </row>
    <row r="966">
      <c r="A966" t="inlineStr">
        <is>
          <t xml:space="preserve">home occupant </t>
        </is>
      </c>
      <c r="B966">
        <f>VLOOKUP(93,Requirements!A2:B2967,2,FALSE)</f>
        <v/>
      </c>
    </row>
    <row r="967">
      <c r="A967" t="inlineStr">
        <is>
          <t xml:space="preserve">home occupant </t>
        </is>
      </c>
      <c r="B967">
        <f>VLOOKUP(95,Requirements!A2:B2967,2,FALSE)</f>
        <v/>
      </c>
    </row>
    <row r="968">
      <c r="A968" t="inlineStr">
        <is>
          <t xml:space="preserve">home occupant </t>
        </is>
      </c>
      <c r="B968">
        <f>VLOOKUP(96,Requirements!A2:B2967,2,FALSE)</f>
        <v/>
      </c>
    </row>
    <row r="969">
      <c r="A969" t="inlineStr">
        <is>
          <t xml:space="preserve">home occupant </t>
        </is>
      </c>
      <c r="B969">
        <f>VLOOKUP(99,Requirements!A2:B2967,2,FALSE)</f>
        <v/>
      </c>
    </row>
    <row r="970">
      <c r="A970" t="inlineStr">
        <is>
          <t xml:space="preserve">home occupant </t>
        </is>
      </c>
      <c r="B970">
        <f>VLOOKUP(103,Requirements!A2:B2967,2,FALSE)</f>
        <v/>
      </c>
    </row>
    <row r="971">
      <c r="A971" t="inlineStr">
        <is>
          <t xml:space="preserve">home occupant </t>
        </is>
      </c>
      <c r="B971">
        <f>VLOOKUP(108,Requirements!A2:B2967,2,FALSE)</f>
        <v/>
      </c>
    </row>
    <row r="972">
      <c r="A972" t="inlineStr">
        <is>
          <t xml:space="preserve">home occupant </t>
        </is>
      </c>
      <c r="B972">
        <f>VLOOKUP(110,Requirements!A2:B2967,2,FALSE)</f>
        <v/>
      </c>
    </row>
    <row r="973">
      <c r="A973" t="inlineStr">
        <is>
          <t xml:space="preserve">home occupant </t>
        </is>
      </c>
      <c r="B973">
        <f>VLOOKUP(114,Requirements!A2:B2967,2,FALSE)</f>
        <v/>
      </c>
    </row>
    <row r="974">
      <c r="A974" t="inlineStr">
        <is>
          <t xml:space="preserve">home occupant </t>
        </is>
      </c>
      <c r="B974">
        <f>VLOOKUP(115,Requirements!A2:B2967,2,FALSE)</f>
        <v/>
      </c>
    </row>
    <row r="975">
      <c r="A975" t="inlineStr">
        <is>
          <t xml:space="preserve">home occupant </t>
        </is>
      </c>
      <c r="B975">
        <f>VLOOKUP(121,Requirements!A2:B2967,2,FALSE)</f>
        <v/>
      </c>
    </row>
    <row r="976">
      <c r="A976" t="inlineStr">
        <is>
          <t xml:space="preserve">home occupant </t>
        </is>
      </c>
      <c r="B976">
        <f>VLOOKUP(122,Requirements!A2:B2967,2,FALSE)</f>
        <v/>
      </c>
    </row>
    <row r="977">
      <c r="A977" t="inlineStr">
        <is>
          <t xml:space="preserve">home occupant </t>
        </is>
      </c>
      <c r="B977">
        <f>VLOOKUP(124,Requirements!A2:B2967,2,FALSE)</f>
        <v/>
      </c>
    </row>
    <row r="978">
      <c r="A978" t="inlineStr">
        <is>
          <t xml:space="preserve">home occupant </t>
        </is>
      </c>
      <c r="B978">
        <f>VLOOKUP(127,Requirements!A2:B2967,2,FALSE)</f>
        <v/>
      </c>
    </row>
    <row r="979">
      <c r="A979" t="inlineStr">
        <is>
          <t xml:space="preserve">home occupant </t>
        </is>
      </c>
      <c r="B979">
        <f>VLOOKUP(128,Requirements!A2:B2967,2,FALSE)</f>
        <v/>
      </c>
    </row>
    <row r="980">
      <c r="A980" t="inlineStr">
        <is>
          <t xml:space="preserve">home occupant </t>
        </is>
      </c>
      <c r="B980">
        <f>VLOOKUP(129,Requirements!A2:B2967,2,FALSE)</f>
        <v/>
      </c>
    </row>
    <row r="981">
      <c r="A981" t="inlineStr">
        <is>
          <t xml:space="preserve">home occupant </t>
        </is>
      </c>
      <c r="B981">
        <f>VLOOKUP(130,Requirements!A2:B2967,2,FALSE)</f>
        <v/>
      </c>
    </row>
    <row r="982">
      <c r="A982" t="inlineStr">
        <is>
          <t xml:space="preserve">home occupant </t>
        </is>
      </c>
      <c r="B982">
        <f>VLOOKUP(131,Requirements!A2:B2967,2,FALSE)</f>
        <v/>
      </c>
    </row>
    <row r="983">
      <c r="A983" t="inlineStr">
        <is>
          <t xml:space="preserve">home occupant </t>
        </is>
      </c>
      <c r="B983">
        <f>VLOOKUP(132,Requirements!A2:B2967,2,FALSE)</f>
        <v/>
      </c>
    </row>
    <row r="984">
      <c r="A984" t="inlineStr">
        <is>
          <t xml:space="preserve">home occupant </t>
        </is>
      </c>
      <c r="B984">
        <f>VLOOKUP(134,Requirements!A2:B2967,2,FALSE)</f>
        <v/>
      </c>
    </row>
    <row r="985">
      <c r="A985" t="inlineStr">
        <is>
          <t xml:space="preserve">home occupant </t>
        </is>
      </c>
      <c r="B985">
        <f>VLOOKUP(136,Requirements!A2:B2967,2,FALSE)</f>
        <v/>
      </c>
    </row>
    <row r="986">
      <c r="A986" t="inlineStr">
        <is>
          <t xml:space="preserve">home occupant </t>
        </is>
      </c>
      <c r="B986">
        <f>VLOOKUP(137,Requirements!A2:B2967,2,FALSE)</f>
        <v/>
      </c>
    </row>
    <row r="987">
      <c r="A987" t="inlineStr">
        <is>
          <t xml:space="preserve">home occupant </t>
        </is>
      </c>
      <c r="B987">
        <f>VLOOKUP(138,Requirements!A2:B2967,2,FALSE)</f>
        <v/>
      </c>
    </row>
    <row r="988">
      <c r="A988" t="inlineStr">
        <is>
          <t xml:space="preserve">home occupant </t>
        </is>
      </c>
      <c r="B988">
        <f>VLOOKUP(139,Requirements!A2:B2967,2,FALSE)</f>
        <v/>
      </c>
    </row>
    <row r="989">
      <c r="A989" t="inlineStr">
        <is>
          <t xml:space="preserve">home occupant </t>
        </is>
      </c>
      <c r="B989">
        <f>VLOOKUP(142,Requirements!A2:B2967,2,FALSE)</f>
        <v/>
      </c>
    </row>
    <row r="990">
      <c r="A990" t="inlineStr">
        <is>
          <t xml:space="preserve">home occupant </t>
        </is>
      </c>
      <c r="B990">
        <f>VLOOKUP(143,Requirements!A2:B2967,2,FALSE)</f>
        <v/>
      </c>
    </row>
    <row r="991">
      <c r="A991" t="inlineStr">
        <is>
          <t xml:space="preserve">home occupant </t>
        </is>
      </c>
      <c r="B991">
        <f>VLOOKUP(145,Requirements!A2:B2967,2,FALSE)</f>
        <v/>
      </c>
    </row>
    <row r="992">
      <c r="A992" t="inlineStr">
        <is>
          <t xml:space="preserve">home occupant </t>
        </is>
      </c>
      <c r="B992">
        <f>VLOOKUP(147,Requirements!A2:B2967,2,FALSE)</f>
        <v/>
      </c>
    </row>
    <row r="993">
      <c r="A993" t="inlineStr">
        <is>
          <t xml:space="preserve">home occupant </t>
        </is>
      </c>
      <c r="B993">
        <f>VLOOKUP(150,Requirements!A2:B2967,2,FALSE)</f>
        <v/>
      </c>
    </row>
    <row r="994">
      <c r="A994" t="inlineStr">
        <is>
          <t xml:space="preserve">home occupant </t>
        </is>
      </c>
      <c r="B994">
        <f>VLOOKUP(151,Requirements!A2:B2967,2,FALSE)</f>
        <v/>
      </c>
    </row>
    <row r="995">
      <c r="A995" t="inlineStr">
        <is>
          <t xml:space="preserve">home occupant </t>
        </is>
      </c>
      <c r="B995">
        <f>VLOOKUP(152,Requirements!A2:B2967,2,FALSE)</f>
        <v/>
      </c>
    </row>
    <row r="996">
      <c r="A996" t="inlineStr">
        <is>
          <t xml:space="preserve">home occupant </t>
        </is>
      </c>
      <c r="B996">
        <f>VLOOKUP(156,Requirements!A2:B2967,2,FALSE)</f>
        <v/>
      </c>
    </row>
    <row r="997">
      <c r="A997" t="inlineStr">
        <is>
          <t xml:space="preserve">home occupant </t>
        </is>
      </c>
      <c r="B997">
        <f>VLOOKUP(160,Requirements!A2:B2967,2,FALSE)</f>
        <v/>
      </c>
    </row>
    <row r="998">
      <c r="A998" t="inlineStr">
        <is>
          <t xml:space="preserve">home occupant </t>
        </is>
      </c>
      <c r="B998">
        <f>VLOOKUP(163,Requirements!A2:B2967,2,FALSE)</f>
        <v/>
      </c>
    </row>
    <row r="999">
      <c r="A999" t="inlineStr">
        <is>
          <t xml:space="preserve">home occupant </t>
        </is>
      </c>
      <c r="B999">
        <f>VLOOKUP(166,Requirements!A2:B2967,2,FALSE)</f>
        <v/>
      </c>
    </row>
    <row r="1000">
      <c r="A1000" t="inlineStr">
        <is>
          <t xml:space="preserve">home occupant </t>
        </is>
      </c>
      <c r="B1000">
        <f>VLOOKUP(170,Requirements!A2:B2967,2,FALSE)</f>
        <v/>
      </c>
    </row>
    <row r="1001">
      <c r="A1001" t="inlineStr">
        <is>
          <t xml:space="preserve">home occupant </t>
        </is>
      </c>
      <c r="B1001">
        <f>VLOOKUP(174,Requirements!A2:B2967,2,FALSE)</f>
        <v/>
      </c>
    </row>
    <row r="1002">
      <c r="A1002" t="inlineStr">
        <is>
          <t xml:space="preserve">home occupant </t>
        </is>
      </c>
      <c r="B1002">
        <f>VLOOKUP(176,Requirements!A2:B2967,2,FALSE)</f>
        <v/>
      </c>
    </row>
    <row r="1003">
      <c r="A1003" t="inlineStr">
        <is>
          <t xml:space="preserve">home occupant </t>
        </is>
      </c>
      <c r="B1003">
        <f>VLOOKUP(177,Requirements!A2:B2967,2,FALSE)</f>
        <v/>
      </c>
    </row>
    <row r="1004">
      <c r="A1004" t="inlineStr">
        <is>
          <t xml:space="preserve">home occupant </t>
        </is>
      </c>
      <c r="B1004">
        <f>VLOOKUP(180,Requirements!A2:B2967,2,FALSE)</f>
        <v/>
      </c>
    </row>
    <row r="1005">
      <c r="A1005" t="inlineStr">
        <is>
          <t xml:space="preserve">home occupant </t>
        </is>
      </c>
      <c r="B1005">
        <f>VLOOKUP(183,Requirements!A2:B2967,2,FALSE)</f>
        <v/>
      </c>
    </row>
    <row r="1006">
      <c r="A1006" t="inlineStr">
        <is>
          <t xml:space="preserve">home occupant </t>
        </is>
      </c>
      <c r="B1006">
        <f>VLOOKUP(186,Requirements!A2:B2967,2,FALSE)</f>
        <v/>
      </c>
    </row>
    <row r="1007">
      <c r="A1007" t="inlineStr">
        <is>
          <t xml:space="preserve">home occupant </t>
        </is>
      </c>
      <c r="B1007">
        <f>VLOOKUP(191,Requirements!A2:B2967,2,FALSE)</f>
        <v/>
      </c>
    </row>
    <row r="1008">
      <c r="A1008" t="inlineStr">
        <is>
          <t xml:space="preserve">home occupant </t>
        </is>
      </c>
      <c r="B1008">
        <f>VLOOKUP(201,Requirements!A2:B2967,2,FALSE)</f>
        <v/>
      </c>
    </row>
    <row r="1009">
      <c r="A1009" t="inlineStr">
        <is>
          <t xml:space="preserve">home occupant </t>
        </is>
      </c>
      <c r="B1009">
        <f>VLOOKUP(202,Requirements!A2:B2967,2,FALSE)</f>
        <v/>
      </c>
    </row>
    <row r="1010">
      <c r="A1010" t="inlineStr">
        <is>
          <t xml:space="preserve">home occupant </t>
        </is>
      </c>
      <c r="B1010">
        <f>VLOOKUP(206,Requirements!A2:B2967,2,FALSE)</f>
        <v/>
      </c>
    </row>
    <row r="1011">
      <c r="A1011" t="inlineStr">
        <is>
          <t xml:space="preserve">home occupant </t>
        </is>
      </c>
      <c r="B1011">
        <f>VLOOKUP(208,Requirements!A2:B2967,2,FALSE)</f>
        <v/>
      </c>
    </row>
    <row r="1012">
      <c r="A1012" t="inlineStr">
        <is>
          <t xml:space="preserve">home occupant </t>
        </is>
      </c>
      <c r="B1012">
        <f>VLOOKUP(209,Requirements!A2:B2967,2,FALSE)</f>
        <v/>
      </c>
    </row>
    <row r="1013">
      <c r="A1013" t="inlineStr">
        <is>
          <t xml:space="preserve">home occupant </t>
        </is>
      </c>
      <c r="B1013">
        <f>VLOOKUP(213,Requirements!A2:B2967,2,FALSE)</f>
        <v/>
      </c>
    </row>
    <row r="1014">
      <c r="A1014" t="inlineStr">
        <is>
          <t xml:space="preserve">home occupant </t>
        </is>
      </c>
      <c r="B1014">
        <f>VLOOKUP(214,Requirements!A2:B2967,2,FALSE)</f>
        <v/>
      </c>
    </row>
    <row r="1015">
      <c r="A1015" t="inlineStr">
        <is>
          <t xml:space="preserve">home occupant </t>
        </is>
      </c>
      <c r="B1015">
        <f>VLOOKUP(215,Requirements!A2:B2967,2,FALSE)</f>
        <v/>
      </c>
    </row>
    <row r="1016">
      <c r="A1016" t="inlineStr">
        <is>
          <t xml:space="preserve">home occupant </t>
        </is>
      </c>
      <c r="B1016">
        <f>VLOOKUP(216,Requirements!A2:B2967,2,FALSE)</f>
        <v/>
      </c>
    </row>
    <row r="1017">
      <c r="A1017" t="inlineStr">
        <is>
          <t xml:space="preserve">home occupant </t>
        </is>
      </c>
      <c r="B1017">
        <f>VLOOKUP(217,Requirements!A2:B2967,2,FALSE)</f>
        <v/>
      </c>
    </row>
    <row r="1018">
      <c r="A1018" t="inlineStr">
        <is>
          <t xml:space="preserve">home occupant </t>
        </is>
      </c>
      <c r="B1018">
        <f>VLOOKUP(219,Requirements!A2:B2967,2,FALSE)</f>
        <v/>
      </c>
    </row>
    <row r="1019">
      <c r="A1019" t="inlineStr">
        <is>
          <t xml:space="preserve">home occupant </t>
        </is>
      </c>
      <c r="B1019">
        <f>VLOOKUP(220,Requirements!A2:B2967,2,FALSE)</f>
        <v/>
      </c>
    </row>
    <row r="1020">
      <c r="A1020" t="inlineStr">
        <is>
          <t xml:space="preserve">home occupant </t>
        </is>
      </c>
      <c r="B1020">
        <f>VLOOKUP(236,Requirements!A2:B2967,2,FALSE)</f>
        <v/>
      </c>
    </row>
    <row r="1021">
      <c r="A1021" t="inlineStr">
        <is>
          <t xml:space="preserve">home occupant </t>
        </is>
      </c>
      <c r="B1021">
        <f>VLOOKUP(240,Requirements!A2:B2967,2,FALSE)</f>
        <v/>
      </c>
    </row>
    <row r="1022">
      <c r="A1022" t="inlineStr">
        <is>
          <t xml:space="preserve">home occupant </t>
        </is>
      </c>
      <c r="B1022">
        <f>VLOOKUP(242,Requirements!A2:B2967,2,FALSE)</f>
        <v/>
      </c>
    </row>
    <row r="1023">
      <c r="A1023" t="inlineStr">
        <is>
          <t xml:space="preserve">home occupant </t>
        </is>
      </c>
      <c r="B1023">
        <f>VLOOKUP(244,Requirements!A2:B2967,2,FALSE)</f>
        <v/>
      </c>
    </row>
    <row r="1024">
      <c r="A1024" t="inlineStr">
        <is>
          <t xml:space="preserve">home occupant </t>
        </is>
      </c>
      <c r="B1024">
        <f>VLOOKUP(245,Requirements!A2:B2967,2,FALSE)</f>
        <v/>
      </c>
    </row>
    <row r="1025">
      <c r="A1025" t="inlineStr">
        <is>
          <t xml:space="preserve">home occupant </t>
        </is>
      </c>
      <c r="B1025">
        <f>VLOOKUP(246,Requirements!A2:B2967,2,FALSE)</f>
        <v/>
      </c>
    </row>
    <row r="1026">
      <c r="A1026" t="inlineStr">
        <is>
          <t xml:space="preserve">home occupant </t>
        </is>
      </c>
      <c r="B1026">
        <f>VLOOKUP(247,Requirements!A2:B2967,2,FALSE)</f>
        <v/>
      </c>
    </row>
    <row r="1027">
      <c r="A1027" t="inlineStr">
        <is>
          <t xml:space="preserve">home occupant </t>
        </is>
      </c>
      <c r="B1027">
        <f>VLOOKUP(248,Requirements!A2:B2967,2,FALSE)</f>
        <v/>
      </c>
    </row>
    <row r="1028">
      <c r="A1028" t="inlineStr">
        <is>
          <t xml:space="preserve">home occupant </t>
        </is>
      </c>
      <c r="B1028">
        <f>VLOOKUP(249,Requirements!A2:B2967,2,FALSE)</f>
        <v/>
      </c>
    </row>
    <row r="1029">
      <c r="A1029" t="inlineStr">
        <is>
          <t xml:space="preserve">home occupant </t>
        </is>
      </c>
      <c r="B1029">
        <f>VLOOKUP(250,Requirements!A2:B2967,2,FALSE)</f>
        <v/>
      </c>
    </row>
    <row r="1030">
      <c r="A1030" t="inlineStr">
        <is>
          <t xml:space="preserve">home occupant </t>
        </is>
      </c>
      <c r="B1030">
        <f>VLOOKUP(251,Requirements!A2:B2967,2,FALSE)</f>
        <v/>
      </c>
    </row>
    <row r="1031">
      <c r="A1031" t="inlineStr">
        <is>
          <t xml:space="preserve">home occupant </t>
        </is>
      </c>
      <c r="B1031">
        <f>VLOOKUP(253,Requirements!A2:B2967,2,FALSE)</f>
        <v/>
      </c>
    </row>
    <row r="1032">
      <c r="A1032" t="inlineStr">
        <is>
          <t xml:space="preserve">home occupant </t>
        </is>
      </c>
      <c r="B1032">
        <f>VLOOKUP(254,Requirements!A2:B2967,2,FALSE)</f>
        <v/>
      </c>
    </row>
    <row r="1033">
      <c r="A1033" t="inlineStr">
        <is>
          <t xml:space="preserve">home occupant </t>
        </is>
      </c>
      <c r="B1033">
        <f>VLOOKUP(255,Requirements!A2:B2967,2,FALSE)</f>
        <v/>
      </c>
    </row>
    <row r="1034">
      <c r="A1034" t="inlineStr">
        <is>
          <t xml:space="preserve">home occupant </t>
        </is>
      </c>
      <c r="B1034">
        <f>VLOOKUP(256,Requirements!A2:B2967,2,FALSE)</f>
        <v/>
      </c>
    </row>
    <row r="1035">
      <c r="A1035" t="inlineStr">
        <is>
          <t xml:space="preserve">home occupant </t>
        </is>
      </c>
      <c r="B1035">
        <f>VLOOKUP(257,Requirements!A2:B2967,2,FALSE)</f>
        <v/>
      </c>
    </row>
    <row r="1036">
      <c r="A1036" t="inlineStr">
        <is>
          <t xml:space="preserve">home occupant </t>
        </is>
      </c>
      <c r="B1036">
        <f>VLOOKUP(258,Requirements!A2:B2967,2,FALSE)</f>
        <v/>
      </c>
    </row>
    <row r="1037">
      <c r="A1037" t="inlineStr">
        <is>
          <t xml:space="preserve">home occupant </t>
        </is>
      </c>
      <c r="B1037">
        <f>VLOOKUP(262,Requirements!A2:B2967,2,FALSE)</f>
        <v/>
      </c>
    </row>
    <row r="1038">
      <c r="A1038" t="inlineStr">
        <is>
          <t xml:space="preserve">home occupant </t>
        </is>
      </c>
      <c r="B1038">
        <f>VLOOKUP(266,Requirements!A2:B2967,2,FALSE)</f>
        <v/>
      </c>
    </row>
    <row r="1039">
      <c r="A1039" t="inlineStr">
        <is>
          <t xml:space="preserve">home occupant </t>
        </is>
      </c>
      <c r="B1039">
        <f>VLOOKUP(274,Requirements!A2:B2967,2,FALSE)</f>
        <v/>
      </c>
    </row>
    <row r="1040">
      <c r="A1040" t="inlineStr">
        <is>
          <t xml:space="preserve">home occupant </t>
        </is>
      </c>
      <c r="B1040">
        <f>VLOOKUP(277,Requirements!A2:B2967,2,FALSE)</f>
        <v/>
      </c>
    </row>
    <row r="1041">
      <c r="A1041" t="inlineStr">
        <is>
          <t xml:space="preserve">home occupant </t>
        </is>
      </c>
      <c r="B1041">
        <f>VLOOKUP(283,Requirements!A2:B2967,2,FALSE)</f>
        <v/>
      </c>
    </row>
    <row r="1042">
      <c r="A1042" t="inlineStr">
        <is>
          <t xml:space="preserve">home occupant </t>
        </is>
      </c>
      <c r="B1042">
        <f>VLOOKUP(284,Requirements!A2:B2967,2,FALSE)</f>
        <v/>
      </c>
    </row>
    <row r="1043">
      <c r="A1043" t="inlineStr">
        <is>
          <t xml:space="preserve">home occupant </t>
        </is>
      </c>
      <c r="B1043">
        <f>VLOOKUP(289,Requirements!A2:B2967,2,FALSE)</f>
        <v/>
      </c>
    </row>
    <row r="1044">
      <c r="A1044" t="inlineStr">
        <is>
          <t xml:space="preserve">home occupant </t>
        </is>
      </c>
      <c r="B1044">
        <f>VLOOKUP(305,Requirements!A2:B2967,2,FALSE)</f>
        <v/>
      </c>
    </row>
    <row r="1045">
      <c r="A1045" t="inlineStr">
        <is>
          <t xml:space="preserve">home occupant </t>
        </is>
      </c>
      <c r="B1045">
        <f>VLOOKUP(306,Requirements!A2:B2967,2,FALSE)</f>
        <v/>
      </c>
    </row>
    <row r="1046">
      <c r="A1046" t="inlineStr">
        <is>
          <t xml:space="preserve">home occupant </t>
        </is>
      </c>
      <c r="B1046">
        <f>VLOOKUP(308,Requirements!A2:B2967,2,FALSE)</f>
        <v/>
      </c>
    </row>
    <row r="1047">
      <c r="A1047" t="inlineStr">
        <is>
          <t xml:space="preserve">home occupant </t>
        </is>
      </c>
      <c r="B1047">
        <f>VLOOKUP(311,Requirements!A2:B2967,2,FALSE)</f>
        <v/>
      </c>
    </row>
    <row r="1048">
      <c r="A1048" t="inlineStr">
        <is>
          <t xml:space="preserve">home occupant </t>
        </is>
      </c>
      <c r="B1048">
        <f>VLOOKUP(316,Requirements!A2:B2967,2,FALSE)</f>
        <v/>
      </c>
    </row>
    <row r="1049">
      <c r="A1049" t="inlineStr">
        <is>
          <t xml:space="preserve">home occupant </t>
        </is>
      </c>
      <c r="B1049">
        <f>VLOOKUP(319,Requirements!A2:B2967,2,FALSE)</f>
        <v/>
      </c>
    </row>
    <row r="1050">
      <c r="A1050" t="inlineStr">
        <is>
          <t xml:space="preserve">home occupant </t>
        </is>
      </c>
      <c r="B1050">
        <f>VLOOKUP(320,Requirements!A2:B2967,2,FALSE)</f>
        <v/>
      </c>
    </row>
    <row r="1051">
      <c r="A1051" t="inlineStr">
        <is>
          <t xml:space="preserve">home occupant </t>
        </is>
      </c>
      <c r="B1051">
        <f>VLOOKUP(321,Requirements!A2:B2967,2,FALSE)</f>
        <v/>
      </c>
    </row>
    <row r="1052">
      <c r="A1052" t="inlineStr">
        <is>
          <t xml:space="preserve">home occupant </t>
        </is>
      </c>
      <c r="B1052">
        <f>VLOOKUP(327,Requirements!A2:B2967,2,FALSE)</f>
        <v/>
      </c>
    </row>
    <row r="1053">
      <c r="A1053" t="inlineStr">
        <is>
          <t xml:space="preserve">home occupant </t>
        </is>
      </c>
      <c r="B1053">
        <f>VLOOKUP(329,Requirements!A2:B2967,2,FALSE)</f>
        <v/>
      </c>
    </row>
    <row r="1054">
      <c r="A1054" t="inlineStr">
        <is>
          <t xml:space="preserve">home occupant </t>
        </is>
      </c>
      <c r="B1054">
        <f>VLOOKUP(332,Requirements!A2:B2967,2,FALSE)</f>
        <v/>
      </c>
    </row>
    <row r="1055">
      <c r="A1055" t="inlineStr">
        <is>
          <t xml:space="preserve">home occupant </t>
        </is>
      </c>
      <c r="B1055">
        <f>VLOOKUP(333,Requirements!A2:B2967,2,FALSE)</f>
        <v/>
      </c>
    </row>
    <row r="1056">
      <c r="A1056" t="inlineStr">
        <is>
          <t xml:space="preserve">home occupant </t>
        </is>
      </c>
      <c r="B1056">
        <f>VLOOKUP(335,Requirements!A2:B2967,2,FALSE)</f>
        <v/>
      </c>
    </row>
    <row r="1057">
      <c r="A1057" t="inlineStr">
        <is>
          <t xml:space="preserve">home occupant </t>
        </is>
      </c>
      <c r="B1057">
        <f>VLOOKUP(337,Requirements!A2:B2967,2,FALSE)</f>
        <v/>
      </c>
    </row>
    <row r="1058">
      <c r="A1058" t="inlineStr">
        <is>
          <t xml:space="preserve">home occupant </t>
        </is>
      </c>
      <c r="B1058">
        <f>VLOOKUP(340,Requirements!A2:B2967,2,FALSE)</f>
        <v/>
      </c>
    </row>
    <row r="1059">
      <c r="A1059" t="inlineStr">
        <is>
          <t xml:space="preserve">home occupant </t>
        </is>
      </c>
      <c r="B1059">
        <f>VLOOKUP(342,Requirements!A2:B2967,2,FALSE)</f>
        <v/>
      </c>
    </row>
    <row r="1060">
      <c r="A1060" t="inlineStr">
        <is>
          <t xml:space="preserve">home occupant </t>
        </is>
      </c>
      <c r="B1060">
        <f>VLOOKUP(345,Requirements!A2:B2967,2,FALSE)</f>
        <v/>
      </c>
    </row>
    <row r="1061">
      <c r="A1061" t="inlineStr">
        <is>
          <t xml:space="preserve">home occupant </t>
        </is>
      </c>
      <c r="B1061">
        <f>VLOOKUP(346,Requirements!A2:B2967,2,FALSE)</f>
        <v/>
      </c>
    </row>
    <row r="1062">
      <c r="A1062" t="inlineStr">
        <is>
          <t xml:space="preserve">home occupant </t>
        </is>
      </c>
      <c r="B1062">
        <f>VLOOKUP(350,Requirements!A2:B2967,2,FALSE)</f>
        <v/>
      </c>
    </row>
    <row r="1063">
      <c r="A1063" t="inlineStr">
        <is>
          <t xml:space="preserve">home occupant </t>
        </is>
      </c>
      <c r="B1063">
        <f>VLOOKUP(352,Requirements!A2:B2967,2,FALSE)</f>
        <v/>
      </c>
    </row>
    <row r="1064">
      <c r="A1064" t="inlineStr">
        <is>
          <t xml:space="preserve">home occupant </t>
        </is>
      </c>
      <c r="B1064">
        <f>VLOOKUP(353,Requirements!A2:B2967,2,FALSE)</f>
        <v/>
      </c>
    </row>
    <row r="1065">
      <c r="A1065" t="inlineStr">
        <is>
          <t xml:space="preserve">home occupant </t>
        </is>
      </c>
      <c r="B1065">
        <f>VLOOKUP(355,Requirements!A2:B2967,2,FALSE)</f>
        <v/>
      </c>
    </row>
    <row r="1066">
      <c r="A1066" t="inlineStr">
        <is>
          <t xml:space="preserve">home occupant </t>
        </is>
      </c>
      <c r="B1066">
        <f>VLOOKUP(357,Requirements!A2:B2967,2,FALSE)</f>
        <v/>
      </c>
    </row>
    <row r="1067">
      <c r="A1067" t="inlineStr">
        <is>
          <t xml:space="preserve">home occupant </t>
        </is>
      </c>
      <c r="B1067">
        <f>VLOOKUP(360,Requirements!A2:B2967,2,FALSE)</f>
        <v/>
      </c>
    </row>
    <row r="1068">
      <c r="A1068" t="inlineStr">
        <is>
          <t xml:space="preserve">home occupant </t>
        </is>
      </c>
      <c r="B1068">
        <f>VLOOKUP(367,Requirements!A2:B2967,2,FALSE)</f>
        <v/>
      </c>
    </row>
    <row r="1069">
      <c r="A1069" t="inlineStr">
        <is>
          <t xml:space="preserve">home occupant </t>
        </is>
      </c>
      <c r="B1069">
        <f>VLOOKUP(370,Requirements!A2:B2967,2,FALSE)</f>
        <v/>
      </c>
    </row>
    <row r="1070">
      <c r="A1070" t="inlineStr">
        <is>
          <t xml:space="preserve">home occupant </t>
        </is>
      </c>
      <c r="B1070">
        <f>VLOOKUP(371,Requirements!A2:B2967,2,FALSE)</f>
        <v/>
      </c>
    </row>
    <row r="1071">
      <c r="A1071" t="inlineStr">
        <is>
          <t xml:space="preserve">home occupant </t>
        </is>
      </c>
      <c r="B1071">
        <f>VLOOKUP(374,Requirements!A2:B2967,2,FALSE)</f>
        <v/>
      </c>
    </row>
    <row r="1072">
      <c r="A1072" t="inlineStr">
        <is>
          <t xml:space="preserve">home occupant </t>
        </is>
      </c>
      <c r="B1072">
        <f>VLOOKUP(379,Requirements!A2:B2967,2,FALSE)</f>
        <v/>
      </c>
    </row>
    <row r="1073">
      <c r="A1073" t="inlineStr">
        <is>
          <t xml:space="preserve">home occupant </t>
        </is>
      </c>
      <c r="B1073">
        <f>VLOOKUP(381,Requirements!A2:B2967,2,FALSE)</f>
        <v/>
      </c>
    </row>
    <row r="1074">
      <c r="A1074" t="inlineStr">
        <is>
          <t xml:space="preserve">home occupant </t>
        </is>
      </c>
      <c r="B1074">
        <f>VLOOKUP(394,Requirements!A2:B2967,2,FALSE)</f>
        <v/>
      </c>
    </row>
    <row r="1075">
      <c r="A1075" t="inlineStr">
        <is>
          <t xml:space="preserve">home occupant </t>
        </is>
      </c>
      <c r="B1075">
        <f>VLOOKUP(409,Requirements!A2:B2967,2,FALSE)</f>
        <v/>
      </c>
    </row>
    <row r="1076">
      <c r="A1076" t="inlineStr">
        <is>
          <t xml:space="preserve">home occupant </t>
        </is>
      </c>
      <c r="B1076">
        <f>VLOOKUP(413,Requirements!A2:B2967,2,FALSE)</f>
        <v/>
      </c>
    </row>
    <row r="1077">
      <c r="A1077" t="inlineStr">
        <is>
          <t xml:space="preserve">home occupant </t>
        </is>
      </c>
      <c r="B1077">
        <f>VLOOKUP(416,Requirements!A2:B2967,2,FALSE)</f>
        <v/>
      </c>
    </row>
    <row r="1078">
      <c r="A1078" t="inlineStr">
        <is>
          <t xml:space="preserve">home occupant </t>
        </is>
      </c>
      <c r="B1078">
        <f>VLOOKUP(422,Requirements!A2:B2967,2,FALSE)</f>
        <v/>
      </c>
    </row>
    <row r="1079">
      <c r="A1079" t="inlineStr">
        <is>
          <t xml:space="preserve">home occupant </t>
        </is>
      </c>
      <c r="B1079">
        <f>VLOOKUP(431,Requirements!A2:B2967,2,FALSE)</f>
        <v/>
      </c>
    </row>
    <row r="1080">
      <c r="A1080" t="inlineStr">
        <is>
          <t xml:space="preserve">home occupant </t>
        </is>
      </c>
      <c r="B1080">
        <f>VLOOKUP(432,Requirements!A2:B2967,2,FALSE)</f>
        <v/>
      </c>
    </row>
    <row r="1081">
      <c r="A1081" t="inlineStr">
        <is>
          <t xml:space="preserve">home occupant </t>
        </is>
      </c>
      <c r="B1081">
        <f>VLOOKUP(437,Requirements!A2:B2967,2,FALSE)</f>
        <v/>
      </c>
    </row>
    <row r="1082">
      <c r="A1082" t="inlineStr">
        <is>
          <t xml:space="preserve">home occupant </t>
        </is>
      </c>
      <c r="B1082">
        <f>VLOOKUP(443,Requirements!A2:B2967,2,FALSE)</f>
        <v/>
      </c>
    </row>
    <row r="1083">
      <c r="A1083" t="inlineStr">
        <is>
          <t xml:space="preserve">home occupant </t>
        </is>
      </c>
      <c r="B1083">
        <f>VLOOKUP(451,Requirements!A2:B2967,2,FALSE)</f>
        <v/>
      </c>
    </row>
    <row r="1084">
      <c r="A1084" t="inlineStr">
        <is>
          <t xml:space="preserve">home occupant </t>
        </is>
      </c>
      <c r="B1084">
        <f>VLOOKUP(459,Requirements!A2:B2967,2,FALSE)</f>
        <v/>
      </c>
    </row>
    <row r="1085">
      <c r="A1085" t="inlineStr">
        <is>
          <t xml:space="preserve">home occupant </t>
        </is>
      </c>
      <c r="B1085">
        <f>VLOOKUP(460,Requirements!A2:B2967,2,FALSE)</f>
        <v/>
      </c>
    </row>
    <row r="1086">
      <c r="A1086" t="inlineStr">
        <is>
          <t xml:space="preserve">home occupant </t>
        </is>
      </c>
      <c r="B1086">
        <f>VLOOKUP(461,Requirements!A2:B2967,2,FALSE)</f>
        <v/>
      </c>
    </row>
    <row r="1087">
      <c r="A1087" t="inlineStr">
        <is>
          <t xml:space="preserve">home occupant </t>
        </is>
      </c>
      <c r="B1087">
        <f>VLOOKUP(462,Requirements!A2:B2967,2,FALSE)</f>
        <v/>
      </c>
    </row>
    <row r="1088">
      <c r="A1088" t="inlineStr">
        <is>
          <t xml:space="preserve">home occupant </t>
        </is>
      </c>
      <c r="B1088">
        <f>VLOOKUP(463,Requirements!A2:B2967,2,FALSE)</f>
        <v/>
      </c>
    </row>
    <row r="1089">
      <c r="A1089" t="inlineStr">
        <is>
          <t xml:space="preserve">home occupant </t>
        </is>
      </c>
      <c r="B1089">
        <f>VLOOKUP(464,Requirements!A2:B2967,2,FALSE)</f>
        <v/>
      </c>
    </row>
    <row r="1090">
      <c r="A1090" t="inlineStr">
        <is>
          <t xml:space="preserve">home occupant </t>
        </is>
      </c>
      <c r="B1090">
        <f>VLOOKUP(469,Requirements!A2:B2967,2,FALSE)</f>
        <v/>
      </c>
    </row>
    <row r="1091">
      <c r="A1091" t="inlineStr">
        <is>
          <t xml:space="preserve">home occupant </t>
        </is>
      </c>
      <c r="B1091">
        <f>VLOOKUP(492,Requirements!A2:B2967,2,FALSE)</f>
        <v/>
      </c>
    </row>
    <row r="1092">
      <c r="A1092" t="inlineStr">
        <is>
          <t xml:space="preserve">home occupant </t>
        </is>
      </c>
      <c r="B1092">
        <f>VLOOKUP(509,Requirements!A2:B2967,2,FALSE)</f>
        <v/>
      </c>
    </row>
    <row r="1093">
      <c r="A1093" t="inlineStr">
        <is>
          <t xml:space="preserve">home occupant </t>
        </is>
      </c>
      <c r="B1093">
        <f>VLOOKUP(531,Requirements!A2:B2967,2,FALSE)</f>
        <v/>
      </c>
    </row>
    <row r="1094">
      <c r="A1094" t="inlineStr">
        <is>
          <t xml:space="preserve">home occupant </t>
        </is>
      </c>
      <c r="B1094">
        <f>VLOOKUP(536,Requirements!A2:B2967,2,FALSE)</f>
        <v/>
      </c>
    </row>
    <row r="1095">
      <c r="A1095" t="inlineStr">
        <is>
          <t xml:space="preserve">home occupant </t>
        </is>
      </c>
      <c r="B1095">
        <f>VLOOKUP(537,Requirements!A2:B2967,2,FALSE)</f>
        <v/>
      </c>
    </row>
    <row r="1096">
      <c r="A1096" t="inlineStr">
        <is>
          <t xml:space="preserve">home occupant </t>
        </is>
      </c>
      <c r="B1096">
        <f>VLOOKUP(538,Requirements!A2:B2967,2,FALSE)</f>
        <v/>
      </c>
    </row>
    <row r="1097">
      <c r="A1097" t="inlineStr">
        <is>
          <t xml:space="preserve">home occupant </t>
        </is>
      </c>
      <c r="B1097">
        <f>VLOOKUP(540,Requirements!A2:B2967,2,FALSE)</f>
        <v/>
      </c>
    </row>
    <row r="1098">
      <c r="A1098" t="inlineStr">
        <is>
          <t xml:space="preserve">home occupant </t>
        </is>
      </c>
      <c r="B1098">
        <f>VLOOKUP(541,Requirements!A2:B2967,2,FALSE)</f>
        <v/>
      </c>
    </row>
    <row r="1099">
      <c r="A1099" t="inlineStr">
        <is>
          <t xml:space="preserve">home occupant </t>
        </is>
      </c>
      <c r="B1099">
        <f>VLOOKUP(542,Requirements!A2:B2967,2,FALSE)</f>
        <v/>
      </c>
    </row>
    <row r="1100">
      <c r="A1100" t="inlineStr">
        <is>
          <t xml:space="preserve">home occupant </t>
        </is>
      </c>
      <c r="B1100">
        <f>VLOOKUP(543,Requirements!A2:B2967,2,FALSE)</f>
        <v/>
      </c>
    </row>
    <row r="1101">
      <c r="A1101" t="inlineStr">
        <is>
          <t xml:space="preserve">home occupant </t>
        </is>
      </c>
      <c r="B1101">
        <f>VLOOKUP(544,Requirements!A2:B2967,2,FALSE)</f>
        <v/>
      </c>
    </row>
    <row r="1102">
      <c r="A1102" t="inlineStr">
        <is>
          <t xml:space="preserve">home occupant </t>
        </is>
      </c>
      <c r="B1102">
        <f>VLOOKUP(545,Requirements!A2:B2967,2,FALSE)</f>
        <v/>
      </c>
    </row>
    <row r="1103">
      <c r="A1103" t="inlineStr">
        <is>
          <t xml:space="preserve">home occupant </t>
        </is>
      </c>
      <c r="B1103">
        <f>VLOOKUP(546,Requirements!A2:B2967,2,FALSE)</f>
        <v/>
      </c>
    </row>
    <row r="1104">
      <c r="A1104" t="inlineStr">
        <is>
          <t xml:space="preserve">home occupant </t>
        </is>
      </c>
      <c r="B1104">
        <f>VLOOKUP(547,Requirements!A2:B2967,2,FALSE)</f>
        <v/>
      </c>
    </row>
    <row r="1105">
      <c r="A1105" t="inlineStr">
        <is>
          <t xml:space="preserve">home occupant </t>
        </is>
      </c>
      <c r="B1105">
        <f>VLOOKUP(548,Requirements!A2:B2967,2,FALSE)</f>
        <v/>
      </c>
    </row>
    <row r="1106">
      <c r="A1106" t="inlineStr">
        <is>
          <t xml:space="preserve">home occupant </t>
        </is>
      </c>
      <c r="B1106">
        <f>VLOOKUP(549,Requirements!A2:B2967,2,FALSE)</f>
        <v/>
      </c>
    </row>
    <row r="1107">
      <c r="A1107" t="inlineStr">
        <is>
          <t xml:space="preserve">home occupant </t>
        </is>
      </c>
      <c r="B1107">
        <f>VLOOKUP(550,Requirements!A2:B2967,2,FALSE)</f>
        <v/>
      </c>
    </row>
    <row r="1108">
      <c r="A1108" t="inlineStr">
        <is>
          <t xml:space="preserve">home occupant </t>
        </is>
      </c>
      <c r="B1108">
        <f>VLOOKUP(551,Requirements!A2:B2967,2,FALSE)</f>
        <v/>
      </c>
    </row>
    <row r="1109">
      <c r="A1109" t="inlineStr">
        <is>
          <t xml:space="preserve">home occupant </t>
        </is>
      </c>
      <c r="B1109">
        <f>VLOOKUP(552,Requirements!A2:B2967,2,FALSE)</f>
        <v/>
      </c>
    </row>
    <row r="1110">
      <c r="A1110" t="inlineStr">
        <is>
          <t xml:space="preserve">home occupant </t>
        </is>
      </c>
      <c r="B1110">
        <f>VLOOKUP(553,Requirements!A2:B2967,2,FALSE)</f>
        <v/>
      </c>
    </row>
    <row r="1111">
      <c r="A1111" t="inlineStr">
        <is>
          <t xml:space="preserve">home occupant </t>
        </is>
      </c>
      <c r="B1111">
        <f>VLOOKUP(554,Requirements!A2:B2967,2,FALSE)</f>
        <v/>
      </c>
    </row>
    <row r="1112">
      <c r="A1112" t="inlineStr">
        <is>
          <t xml:space="preserve">home occupant </t>
        </is>
      </c>
      <c r="B1112">
        <f>VLOOKUP(558,Requirements!A2:B2967,2,FALSE)</f>
        <v/>
      </c>
    </row>
    <row r="1113">
      <c r="A1113" t="inlineStr">
        <is>
          <t xml:space="preserve">home occupant </t>
        </is>
      </c>
      <c r="B1113">
        <f>VLOOKUP(559,Requirements!A2:B2967,2,FALSE)</f>
        <v/>
      </c>
    </row>
    <row r="1114">
      <c r="A1114" t="inlineStr">
        <is>
          <t xml:space="preserve">home occupant </t>
        </is>
      </c>
      <c r="B1114">
        <f>VLOOKUP(560,Requirements!A2:B2967,2,FALSE)</f>
        <v/>
      </c>
    </row>
    <row r="1115">
      <c r="A1115" t="inlineStr">
        <is>
          <t xml:space="preserve">home occupant </t>
        </is>
      </c>
      <c r="B1115">
        <f>VLOOKUP(561,Requirements!A2:B2967,2,FALSE)</f>
        <v/>
      </c>
    </row>
    <row r="1116">
      <c r="A1116" t="inlineStr">
        <is>
          <t xml:space="preserve">home occupant </t>
        </is>
      </c>
      <c r="B1116">
        <f>VLOOKUP(562,Requirements!A2:B2967,2,FALSE)</f>
        <v/>
      </c>
    </row>
    <row r="1117">
      <c r="A1117" t="inlineStr">
        <is>
          <t xml:space="preserve">home occupant </t>
        </is>
      </c>
      <c r="B1117">
        <f>VLOOKUP(563,Requirements!A2:B2967,2,FALSE)</f>
        <v/>
      </c>
    </row>
    <row r="1118">
      <c r="A1118" t="inlineStr">
        <is>
          <t xml:space="preserve">home occupant </t>
        </is>
      </c>
      <c r="B1118">
        <f>VLOOKUP(564,Requirements!A2:B2967,2,FALSE)</f>
        <v/>
      </c>
    </row>
    <row r="1119">
      <c r="A1119" t="inlineStr">
        <is>
          <t xml:space="preserve">home occupant </t>
        </is>
      </c>
      <c r="B1119">
        <f>VLOOKUP(600,Requirements!A2:B2967,2,FALSE)</f>
        <v/>
      </c>
    </row>
    <row r="1120">
      <c r="A1120" t="inlineStr">
        <is>
          <t xml:space="preserve">home occupant </t>
        </is>
      </c>
      <c r="B1120">
        <f>VLOOKUP(608,Requirements!A2:B2967,2,FALSE)</f>
        <v/>
      </c>
    </row>
    <row r="1121">
      <c r="A1121" t="inlineStr">
        <is>
          <t xml:space="preserve">home occupant </t>
        </is>
      </c>
      <c r="B1121">
        <f>VLOOKUP(611,Requirements!A2:B2967,2,FALSE)</f>
        <v/>
      </c>
    </row>
    <row r="1122">
      <c r="A1122" t="inlineStr">
        <is>
          <t xml:space="preserve">home occupant </t>
        </is>
      </c>
      <c r="B1122">
        <f>VLOOKUP(616,Requirements!A2:B2967,2,FALSE)</f>
        <v/>
      </c>
    </row>
    <row r="1123">
      <c r="A1123" t="inlineStr">
        <is>
          <t xml:space="preserve">home occupant </t>
        </is>
      </c>
      <c r="B1123">
        <f>VLOOKUP(620,Requirements!A2:B2967,2,FALSE)</f>
        <v/>
      </c>
    </row>
    <row r="1124">
      <c r="A1124" t="inlineStr">
        <is>
          <t xml:space="preserve">home occupant </t>
        </is>
      </c>
      <c r="B1124">
        <f>VLOOKUP(621,Requirements!A2:B2967,2,FALSE)</f>
        <v/>
      </c>
    </row>
    <row r="1125">
      <c r="A1125" t="inlineStr">
        <is>
          <t xml:space="preserve">home occupant </t>
        </is>
      </c>
      <c r="B1125">
        <f>VLOOKUP(622,Requirements!A2:B2967,2,FALSE)</f>
        <v/>
      </c>
    </row>
    <row r="1126">
      <c r="A1126" t="inlineStr">
        <is>
          <t xml:space="preserve">home occupant </t>
        </is>
      </c>
      <c r="B1126">
        <f>VLOOKUP(624,Requirements!A2:B2967,2,FALSE)</f>
        <v/>
      </c>
    </row>
    <row r="1127">
      <c r="A1127" t="inlineStr">
        <is>
          <t xml:space="preserve">home occupant </t>
        </is>
      </c>
      <c r="B1127">
        <f>VLOOKUP(627,Requirements!A2:B2967,2,FALSE)</f>
        <v/>
      </c>
    </row>
    <row r="1128">
      <c r="A1128" t="inlineStr">
        <is>
          <t xml:space="preserve">home occupant </t>
        </is>
      </c>
      <c r="B1128">
        <f>VLOOKUP(633,Requirements!A2:B2967,2,FALSE)</f>
        <v/>
      </c>
    </row>
    <row r="1129">
      <c r="A1129" t="inlineStr">
        <is>
          <t xml:space="preserve">home occupant </t>
        </is>
      </c>
      <c r="B1129">
        <f>VLOOKUP(634,Requirements!A2:B2967,2,FALSE)</f>
        <v/>
      </c>
    </row>
    <row r="1130">
      <c r="A1130" t="inlineStr">
        <is>
          <t xml:space="preserve">home occupant </t>
        </is>
      </c>
      <c r="B1130">
        <f>VLOOKUP(635,Requirements!A2:B2967,2,FALSE)</f>
        <v/>
      </c>
    </row>
    <row r="1131">
      <c r="A1131" t="inlineStr">
        <is>
          <t xml:space="preserve">home occupant </t>
        </is>
      </c>
      <c r="B1131">
        <f>VLOOKUP(640,Requirements!A2:B2967,2,FALSE)</f>
        <v/>
      </c>
    </row>
    <row r="1132">
      <c r="A1132" t="inlineStr">
        <is>
          <t xml:space="preserve">home occupant </t>
        </is>
      </c>
      <c r="B1132">
        <f>VLOOKUP(643,Requirements!A2:B2967,2,FALSE)</f>
        <v/>
      </c>
    </row>
    <row r="1133">
      <c r="A1133" t="inlineStr">
        <is>
          <t xml:space="preserve">home occupant </t>
        </is>
      </c>
      <c r="B1133">
        <f>VLOOKUP(645,Requirements!A2:B2967,2,FALSE)</f>
        <v/>
      </c>
    </row>
    <row r="1134">
      <c r="A1134" t="inlineStr">
        <is>
          <t xml:space="preserve">home occupant </t>
        </is>
      </c>
      <c r="B1134">
        <f>VLOOKUP(649,Requirements!A2:B2967,2,FALSE)</f>
        <v/>
      </c>
    </row>
    <row r="1135">
      <c r="A1135" t="inlineStr">
        <is>
          <t xml:space="preserve">home occupant </t>
        </is>
      </c>
      <c r="B1135">
        <f>VLOOKUP(650,Requirements!A2:B2967,2,FALSE)</f>
        <v/>
      </c>
    </row>
    <row r="1136">
      <c r="A1136" t="inlineStr">
        <is>
          <t xml:space="preserve">home occupant </t>
        </is>
      </c>
      <c r="B1136">
        <f>VLOOKUP(651,Requirements!A2:B2967,2,FALSE)</f>
        <v/>
      </c>
    </row>
    <row r="1137">
      <c r="A1137" t="inlineStr">
        <is>
          <t xml:space="preserve">home occupant </t>
        </is>
      </c>
      <c r="B1137">
        <f>VLOOKUP(656,Requirements!A2:B2967,2,FALSE)</f>
        <v/>
      </c>
    </row>
    <row r="1138">
      <c r="A1138" t="inlineStr">
        <is>
          <t xml:space="preserve">home occupant </t>
        </is>
      </c>
      <c r="B1138">
        <f>VLOOKUP(658,Requirements!A2:B2967,2,FALSE)</f>
        <v/>
      </c>
    </row>
    <row r="1139">
      <c r="A1139" t="inlineStr">
        <is>
          <t xml:space="preserve">home occupant </t>
        </is>
      </c>
      <c r="B1139">
        <f>VLOOKUP(661,Requirements!A2:B2967,2,FALSE)</f>
        <v/>
      </c>
    </row>
    <row r="1140">
      <c r="A1140" t="inlineStr">
        <is>
          <t xml:space="preserve">home occupant </t>
        </is>
      </c>
      <c r="B1140">
        <f>VLOOKUP(663,Requirements!A2:B2967,2,FALSE)</f>
        <v/>
      </c>
    </row>
    <row r="1141">
      <c r="A1141" t="inlineStr">
        <is>
          <t xml:space="preserve">home occupant </t>
        </is>
      </c>
      <c r="B1141">
        <f>VLOOKUP(664,Requirements!A2:B2967,2,FALSE)</f>
        <v/>
      </c>
    </row>
    <row r="1142">
      <c r="A1142" t="inlineStr">
        <is>
          <t xml:space="preserve">home occupant </t>
        </is>
      </c>
      <c r="B1142">
        <f>VLOOKUP(666,Requirements!A2:B2967,2,FALSE)</f>
        <v/>
      </c>
    </row>
    <row r="1143">
      <c r="A1143" t="inlineStr">
        <is>
          <t xml:space="preserve">home occupant </t>
        </is>
      </c>
      <c r="B1143">
        <f>VLOOKUP(668,Requirements!A2:B2967,2,FALSE)</f>
        <v/>
      </c>
    </row>
    <row r="1144">
      <c r="A1144" t="inlineStr">
        <is>
          <t xml:space="preserve">home occupant </t>
        </is>
      </c>
      <c r="B1144">
        <f>VLOOKUP(672,Requirements!A2:B2967,2,FALSE)</f>
        <v/>
      </c>
    </row>
    <row r="1145">
      <c r="A1145" t="inlineStr">
        <is>
          <t xml:space="preserve">home occupant </t>
        </is>
      </c>
      <c r="B1145">
        <f>VLOOKUP(677,Requirements!A2:B2967,2,FALSE)</f>
        <v/>
      </c>
    </row>
    <row r="1146">
      <c r="A1146" t="inlineStr">
        <is>
          <t xml:space="preserve">home occupant </t>
        </is>
      </c>
      <c r="B1146">
        <f>VLOOKUP(679,Requirements!A2:B2967,2,FALSE)</f>
        <v/>
      </c>
    </row>
    <row r="1147">
      <c r="A1147" t="inlineStr">
        <is>
          <t xml:space="preserve">home occupant </t>
        </is>
      </c>
      <c r="B1147">
        <f>VLOOKUP(685,Requirements!A2:B2967,2,FALSE)</f>
        <v/>
      </c>
    </row>
    <row r="1148">
      <c r="A1148" t="inlineStr">
        <is>
          <t xml:space="preserve">home occupant </t>
        </is>
      </c>
      <c r="B1148">
        <f>VLOOKUP(690,Requirements!A2:B2967,2,FALSE)</f>
        <v/>
      </c>
    </row>
    <row r="1149">
      <c r="A1149" t="inlineStr">
        <is>
          <t xml:space="preserve">home occupant </t>
        </is>
      </c>
      <c r="B1149">
        <f>VLOOKUP(697,Requirements!A2:B2967,2,FALSE)</f>
        <v/>
      </c>
    </row>
    <row r="1150">
      <c r="A1150" t="inlineStr">
        <is>
          <t xml:space="preserve">home occupant </t>
        </is>
      </c>
      <c r="B1150">
        <f>VLOOKUP(698,Requirements!A2:B2967,2,FALSE)</f>
        <v/>
      </c>
    </row>
    <row r="1151">
      <c r="A1151" t="inlineStr">
        <is>
          <t xml:space="preserve">home occupant </t>
        </is>
      </c>
      <c r="B1151">
        <f>VLOOKUP(706,Requirements!A2:B2967,2,FALSE)</f>
        <v/>
      </c>
    </row>
    <row r="1152">
      <c r="A1152" t="inlineStr">
        <is>
          <t xml:space="preserve">home occupant </t>
        </is>
      </c>
      <c r="B1152">
        <f>VLOOKUP(708,Requirements!A2:B2967,2,FALSE)</f>
        <v/>
      </c>
    </row>
    <row r="1153">
      <c r="A1153" t="inlineStr">
        <is>
          <t xml:space="preserve">home occupant </t>
        </is>
      </c>
      <c r="B1153">
        <f>VLOOKUP(709,Requirements!A2:B2967,2,FALSE)</f>
        <v/>
      </c>
    </row>
    <row r="1154">
      <c r="A1154" t="inlineStr">
        <is>
          <t xml:space="preserve">home occupant </t>
        </is>
      </c>
      <c r="B1154">
        <f>VLOOKUP(712,Requirements!A2:B2967,2,FALSE)</f>
        <v/>
      </c>
    </row>
    <row r="1155">
      <c r="A1155" t="inlineStr">
        <is>
          <t xml:space="preserve">home occupant </t>
        </is>
      </c>
      <c r="B1155">
        <f>VLOOKUP(715,Requirements!A2:B2967,2,FALSE)</f>
        <v/>
      </c>
    </row>
    <row r="1156">
      <c r="A1156" t="inlineStr">
        <is>
          <t xml:space="preserve">home occupant </t>
        </is>
      </c>
      <c r="B1156">
        <f>VLOOKUP(716,Requirements!A2:B2967,2,FALSE)</f>
        <v/>
      </c>
    </row>
    <row r="1157">
      <c r="A1157" t="inlineStr">
        <is>
          <t xml:space="preserve">home occupant </t>
        </is>
      </c>
      <c r="B1157">
        <f>VLOOKUP(720,Requirements!A2:B2967,2,FALSE)</f>
        <v/>
      </c>
    </row>
    <row r="1158">
      <c r="A1158" t="inlineStr">
        <is>
          <t xml:space="preserve">home occupant </t>
        </is>
      </c>
      <c r="B1158">
        <f>VLOOKUP(722,Requirements!A2:B2967,2,FALSE)</f>
        <v/>
      </c>
    </row>
    <row r="1159">
      <c r="A1159" t="inlineStr">
        <is>
          <t xml:space="preserve">home occupant </t>
        </is>
      </c>
      <c r="B1159">
        <f>VLOOKUP(727,Requirements!A2:B2967,2,FALSE)</f>
        <v/>
      </c>
    </row>
    <row r="1160">
      <c r="A1160" t="inlineStr">
        <is>
          <t xml:space="preserve">home occupant </t>
        </is>
      </c>
      <c r="B1160">
        <f>VLOOKUP(731,Requirements!A2:B2967,2,FALSE)</f>
        <v/>
      </c>
    </row>
    <row r="1161">
      <c r="A1161" t="inlineStr">
        <is>
          <t xml:space="preserve">home occupant </t>
        </is>
      </c>
      <c r="B1161">
        <f>VLOOKUP(735,Requirements!A2:B2967,2,FALSE)</f>
        <v/>
      </c>
    </row>
    <row r="1162">
      <c r="A1162" t="inlineStr">
        <is>
          <t xml:space="preserve">home occupant </t>
        </is>
      </c>
      <c r="B1162">
        <f>VLOOKUP(738,Requirements!A2:B2967,2,FALSE)</f>
        <v/>
      </c>
    </row>
    <row r="1163">
      <c r="A1163" t="inlineStr">
        <is>
          <t xml:space="preserve">home occupant </t>
        </is>
      </c>
      <c r="B1163">
        <f>VLOOKUP(739,Requirements!A2:B2967,2,FALSE)</f>
        <v/>
      </c>
    </row>
    <row r="1164">
      <c r="A1164" t="inlineStr">
        <is>
          <t xml:space="preserve">home occupant </t>
        </is>
      </c>
      <c r="B1164">
        <f>VLOOKUP(743,Requirements!A2:B2967,2,FALSE)</f>
        <v/>
      </c>
    </row>
    <row r="1165">
      <c r="A1165" t="inlineStr">
        <is>
          <t xml:space="preserve">home occupant </t>
        </is>
      </c>
      <c r="B1165">
        <f>VLOOKUP(744,Requirements!A2:B2967,2,FALSE)</f>
        <v/>
      </c>
    </row>
    <row r="1166">
      <c r="A1166" t="inlineStr">
        <is>
          <t xml:space="preserve">home occupant </t>
        </is>
      </c>
      <c r="B1166">
        <f>VLOOKUP(745,Requirements!A2:B2967,2,FALSE)</f>
        <v/>
      </c>
    </row>
    <row r="1167">
      <c r="A1167" t="inlineStr">
        <is>
          <t xml:space="preserve">home occupant </t>
        </is>
      </c>
      <c r="B1167">
        <f>VLOOKUP(767,Requirements!A2:B2967,2,FALSE)</f>
        <v/>
      </c>
    </row>
    <row r="1168">
      <c r="A1168" t="inlineStr">
        <is>
          <t xml:space="preserve">home occupant </t>
        </is>
      </c>
      <c r="B1168">
        <f>VLOOKUP(768,Requirements!A2:B2967,2,FALSE)</f>
        <v/>
      </c>
    </row>
    <row r="1169">
      <c r="A1169" t="inlineStr">
        <is>
          <t xml:space="preserve">home occupant </t>
        </is>
      </c>
      <c r="B1169">
        <f>VLOOKUP(769,Requirements!A2:B2967,2,FALSE)</f>
        <v/>
      </c>
    </row>
    <row r="1170">
      <c r="A1170" t="inlineStr">
        <is>
          <t xml:space="preserve">home occupant </t>
        </is>
      </c>
      <c r="B1170">
        <f>VLOOKUP(774,Requirements!A2:B2967,2,FALSE)</f>
        <v/>
      </c>
    </row>
    <row r="1171">
      <c r="A1171" t="inlineStr">
        <is>
          <t xml:space="preserve">home occupant </t>
        </is>
      </c>
      <c r="B1171">
        <f>VLOOKUP(775,Requirements!A2:B2967,2,FALSE)</f>
        <v/>
      </c>
    </row>
    <row r="1172">
      <c r="A1172" t="inlineStr">
        <is>
          <t xml:space="preserve">home occupant </t>
        </is>
      </c>
      <c r="B1172">
        <f>VLOOKUP(776,Requirements!A2:B2967,2,FALSE)</f>
        <v/>
      </c>
    </row>
    <row r="1173">
      <c r="A1173" t="inlineStr">
        <is>
          <t xml:space="preserve">home occupant </t>
        </is>
      </c>
      <c r="B1173">
        <f>VLOOKUP(777,Requirements!A2:B2967,2,FALSE)</f>
        <v/>
      </c>
    </row>
    <row r="1174">
      <c r="A1174" t="inlineStr">
        <is>
          <t xml:space="preserve">home occupant </t>
        </is>
      </c>
      <c r="B1174">
        <f>VLOOKUP(778,Requirements!A2:B2967,2,FALSE)</f>
        <v/>
      </c>
    </row>
    <row r="1175">
      <c r="A1175" t="inlineStr">
        <is>
          <t xml:space="preserve">home occupant </t>
        </is>
      </c>
      <c r="B1175">
        <f>VLOOKUP(781,Requirements!A2:B2967,2,FALSE)</f>
        <v/>
      </c>
    </row>
    <row r="1176">
      <c r="A1176" t="inlineStr">
        <is>
          <t xml:space="preserve">home occupant </t>
        </is>
      </c>
      <c r="B1176">
        <f>VLOOKUP(786,Requirements!A2:B2967,2,FALSE)</f>
        <v/>
      </c>
    </row>
    <row r="1177">
      <c r="A1177" t="inlineStr">
        <is>
          <t xml:space="preserve">home occupant </t>
        </is>
      </c>
      <c r="B1177">
        <f>VLOOKUP(790,Requirements!A2:B2967,2,FALSE)</f>
        <v/>
      </c>
    </row>
    <row r="1178">
      <c r="A1178" t="inlineStr">
        <is>
          <t xml:space="preserve">home occupant </t>
        </is>
      </c>
      <c r="B1178">
        <f>VLOOKUP(794,Requirements!A2:B2967,2,FALSE)</f>
        <v/>
      </c>
    </row>
    <row r="1179">
      <c r="A1179" t="inlineStr">
        <is>
          <t xml:space="preserve">home occupant </t>
        </is>
      </c>
      <c r="B1179">
        <f>VLOOKUP(822,Requirements!A2:B2967,2,FALSE)</f>
        <v/>
      </c>
    </row>
    <row r="1180">
      <c r="A1180" t="inlineStr">
        <is>
          <t xml:space="preserve">home occupant </t>
        </is>
      </c>
      <c r="B1180">
        <f>VLOOKUP(828,Requirements!A2:B2967,2,FALSE)</f>
        <v/>
      </c>
    </row>
    <row r="1181">
      <c r="A1181" t="inlineStr">
        <is>
          <t xml:space="preserve">home occupant </t>
        </is>
      </c>
      <c r="B1181">
        <f>VLOOKUP(832,Requirements!A2:B2967,2,FALSE)</f>
        <v/>
      </c>
    </row>
    <row r="1182">
      <c r="A1182" t="inlineStr">
        <is>
          <t xml:space="preserve">home occupant </t>
        </is>
      </c>
      <c r="B1182">
        <f>VLOOKUP(833,Requirements!A2:B2967,2,FALSE)</f>
        <v/>
      </c>
    </row>
    <row r="1183">
      <c r="A1183" t="inlineStr">
        <is>
          <t xml:space="preserve">home occupant </t>
        </is>
      </c>
      <c r="B1183">
        <f>VLOOKUP(836,Requirements!A2:B2967,2,FALSE)</f>
        <v/>
      </c>
    </row>
    <row r="1184">
      <c r="A1184" t="inlineStr">
        <is>
          <t xml:space="preserve">home occupant </t>
        </is>
      </c>
      <c r="B1184">
        <f>VLOOKUP(839,Requirements!A2:B2967,2,FALSE)</f>
        <v/>
      </c>
    </row>
    <row r="1185">
      <c r="A1185" t="inlineStr">
        <is>
          <t xml:space="preserve">home occupant </t>
        </is>
      </c>
      <c r="B1185">
        <f>VLOOKUP(840,Requirements!A2:B2967,2,FALSE)</f>
        <v/>
      </c>
    </row>
    <row r="1186">
      <c r="A1186" t="inlineStr">
        <is>
          <t xml:space="preserve">home occupant </t>
        </is>
      </c>
      <c r="B1186">
        <f>VLOOKUP(841,Requirements!A2:B2967,2,FALSE)</f>
        <v/>
      </c>
    </row>
    <row r="1187">
      <c r="A1187" t="inlineStr">
        <is>
          <t xml:space="preserve">home occupant </t>
        </is>
      </c>
      <c r="B1187">
        <f>VLOOKUP(844,Requirements!A2:B2967,2,FALSE)</f>
        <v/>
      </c>
    </row>
    <row r="1188">
      <c r="A1188" t="inlineStr">
        <is>
          <t xml:space="preserve">home occupant </t>
        </is>
      </c>
      <c r="B1188">
        <f>VLOOKUP(849,Requirements!A2:B2967,2,FALSE)</f>
        <v/>
      </c>
    </row>
    <row r="1189">
      <c r="A1189" t="inlineStr">
        <is>
          <t xml:space="preserve">home occupant </t>
        </is>
      </c>
      <c r="B1189">
        <f>VLOOKUP(850,Requirements!A2:B2967,2,FALSE)</f>
        <v/>
      </c>
    </row>
    <row r="1190">
      <c r="A1190" t="inlineStr">
        <is>
          <t xml:space="preserve">home occupant </t>
        </is>
      </c>
      <c r="B1190">
        <f>VLOOKUP(851,Requirements!A2:B2967,2,FALSE)</f>
        <v/>
      </c>
    </row>
    <row r="1191">
      <c r="A1191" t="inlineStr">
        <is>
          <t xml:space="preserve">home occupant </t>
        </is>
      </c>
      <c r="B1191">
        <f>VLOOKUP(852,Requirements!A2:B2967,2,FALSE)</f>
        <v/>
      </c>
    </row>
    <row r="1192">
      <c r="A1192" t="inlineStr">
        <is>
          <t xml:space="preserve">home occupant </t>
        </is>
      </c>
      <c r="B1192">
        <f>VLOOKUP(855,Requirements!A2:B2967,2,FALSE)</f>
        <v/>
      </c>
    </row>
    <row r="1193">
      <c r="A1193" t="inlineStr">
        <is>
          <t xml:space="preserve">home occupant </t>
        </is>
      </c>
      <c r="B1193">
        <f>VLOOKUP(856,Requirements!A2:B2967,2,FALSE)</f>
        <v/>
      </c>
    </row>
    <row r="1194">
      <c r="A1194" t="inlineStr">
        <is>
          <t xml:space="preserve">home occupant </t>
        </is>
      </c>
      <c r="B1194">
        <f>VLOOKUP(857,Requirements!A2:B2967,2,FALSE)</f>
        <v/>
      </c>
    </row>
    <row r="1195">
      <c r="A1195" t="inlineStr">
        <is>
          <t xml:space="preserve">home occupant </t>
        </is>
      </c>
      <c r="B1195">
        <f>VLOOKUP(858,Requirements!A2:B2967,2,FALSE)</f>
        <v/>
      </c>
    </row>
    <row r="1196">
      <c r="A1196" t="inlineStr">
        <is>
          <t xml:space="preserve">home occupant </t>
        </is>
      </c>
      <c r="B1196">
        <f>VLOOKUP(859,Requirements!A2:B2967,2,FALSE)</f>
        <v/>
      </c>
    </row>
    <row r="1197">
      <c r="A1197" t="inlineStr">
        <is>
          <t xml:space="preserve">home occupant </t>
        </is>
      </c>
      <c r="B1197">
        <f>VLOOKUP(862,Requirements!A2:B2967,2,FALSE)</f>
        <v/>
      </c>
    </row>
    <row r="1198">
      <c r="A1198" t="inlineStr">
        <is>
          <t xml:space="preserve">home occupant </t>
        </is>
      </c>
      <c r="B1198">
        <f>VLOOKUP(863,Requirements!A2:B2967,2,FALSE)</f>
        <v/>
      </c>
    </row>
    <row r="1199">
      <c r="A1199" t="inlineStr">
        <is>
          <t xml:space="preserve">home occupant </t>
        </is>
      </c>
      <c r="B1199">
        <f>VLOOKUP(864,Requirements!A2:B2967,2,FALSE)</f>
        <v/>
      </c>
    </row>
    <row r="1200">
      <c r="A1200" t="inlineStr">
        <is>
          <t xml:space="preserve">home occupant </t>
        </is>
      </c>
      <c r="B1200">
        <f>VLOOKUP(865,Requirements!A2:B2967,2,FALSE)</f>
        <v/>
      </c>
    </row>
    <row r="1201">
      <c r="A1201" t="inlineStr">
        <is>
          <t xml:space="preserve">home occupant </t>
        </is>
      </c>
      <c r="B1201">
        <f>VLOOKUP(866,Requirements!A2:B2967,2,FALSE)</f>
        <v/>
      </c>
    </row>
    <row r="1202">
      <c r="A1202" t="inlineStr">
        <is>
          <t xml:space="preserve">home occupant </t>
        </is>
      </c>
      <c r="B1202">
        <f>VLOOKUP(867,Requirements!A2:B2967,2,FALSE)</f>
        <v/>
      </c>
    </row>
    <row r="1203">
      <c r="A1203" t="inlineStr">
        <is>
          <t xml:space="preserve">home occupant </t>
        </is>
      </c>
      <c r="B1203">
        <f>VLOOKUP(868,Requirements!A2:B2967,2,FALSE)</f>
        <v/>
      </c>
    </row>
    <row r="1204">
      <c r="A1204" t="inlineStr">
        <is>
          <t xml:space="preserve">home occupant </t>
        </is>
      </c>
      <c r="B1204">
        <f>VLOOKUP(875,Requirements!A2:B2967,2,FALSE)</f>
        <v/>
      </c>
    </row>
    <row r="1205">
      <c r="A1205" t="inlineStr">
        <is>
          <t xml:space="preserve">home occupant </t>
        </is>
      </c>
      <c r="B1205">
        <f>VLOOKUP(876,Requirements!A2:B2967,2,FALSE)</f>
        <v/>
      </c>
    </row>
    <row r="1206">
      <c r="A1206" t="inlineStr">
        <is>
          <t xml:space="preserve">home occupant </t>
        </is>
      </c>
      <c r="B1206">
        <f>VLOOKUP(878,Requirements!A2:B2967,2,FALSE)</f>
        <v/>
      </c>
    </row>
    <row r="1207">
      <c r="A1207" t="inlineStr">
        <is>
          <t xml:space="preserve">home occupant </t>
        </is>
      </c>
      <c r="B1207">
        <f>VLOOKUP(879,Requirements!A2:B2967,2,FALSE)</f>
        <v/>
      </c>
    </row>
    <row r="1208">
      <c r="A1208" t="inlineStr">
        <is>
          <t xml:space="preserve">home occupant </t>
        </is>
      </c>
      <c r="B1208">
        <f>VLOOKUP(882,Requirements!A2:B2967,2,FALSE)</f>
        <v/>
      </c>
    </row>
    <row r="1209">
      <c r="A1209" t="inlineStr">
        <is>
          <t xml:space="preserve">home occupant </t>
        </is>
      </c>
      <c r="B1209">
        <f>VLOOKUP(884,Requirements!A2:B2967,2,FALSE)</f>
        <v/>
      </c>
    </row>
    <row r="1210">
      <c r="A1210" t="inlineStr">
        <is>
          <t xml:space="preserve">home occupant </t>
        </is>
      </c>
      <c r="B1210">
        <f>VLOOKUP(885,Requirements!A2:B2967,2,FALSE)</f>
        <v/>
      </c>
    </row>
    <row r="1211">
      <c r="A1211" t="inlineStr">
        <is>
          <t xml:space="preserve">home occupant </t>
        </is>
      </c>
      <c r="B1211">
        <f>VLOOKUP(887,Requirements!A2:B2967,2,FALSE)</f>
        <v/>
      </c>
    </row>
    <row r="1212">
      <c r="A1212" t="inlineStr">
        <is>
          <t xml:space="preserve">home occupant </t>
        </is>
      </c>
      <c r="B1212">
        <f>VLOOKUP(889,Requirements!A2:B2967,2,FALSE)</f>
        <v/>
      </c>
    </row>
    <row r="1213">
      <c r="A1213" t="inlineStr">
        <is>
          <t xml:space="preserve">home occupant </t>
        </is>
      </c>
      <c r="B1213">
        <f>VLOOKUP(891,Requirements!A2:B2967,2,FALSE)</f>
        <v/>
      </c>
    </row>
    <row r="1214">
      <c r="A1214" t="inlineStr">
        <is>
          <t xml:space="preserve">home occupant </t>
        </is>
      </c>
      <c r="B1214">
        <f>VLOOKUP(893,Requirements!A2:B2967,2,FALSE)</f>
        <v/>
      </c>
    </row>
    <row r="1215">
      <c r="A1215" t="inlineStr">
        <is>
          <t xml:space="preserve">home occupant </t>
        </is>
      </c>
      <c r="B1215">
        <f>VLOOKUP(895,Requirements!A2:B2967,2,FALSE)</f>
        <v/>
      </c>
    </row>
    <row r="1216">
      <c r="A1216" t="inlineStr">
        <is>
          <t xml:space="preserve">home occupant </t>
        </is>
      </c>
      <c r="B1216">
        <f>VLOOKUP(898,Requirements!A2:B2967,2,FALSE)</f>
        <v/>
      </c>
    </row>
    <row r="1217">
      <c r="A1217" t="inlineStr">
        <is>
          <t xml:space="preserve">home occupant </t>
        </is>
      </c>
      <c r="B1217">
        <f>VLOOKUP(900,Requirements!A2:B2967,2,FALSE)</f>
        <v/>
      </c>
    </row>
    <row r="1218">
      <c r="A1218" t="inlineStr">
        <is>
          <t xml:space="preserve">home occupant </t>
        </is>
      </c>
      <c r="B1218">
        <f>VLOOKUP(902,Requirements!A2:B2967,2,FALSE)</f>
        <v/>
      </c>
    </row>
    <row r="1219">
      <c r="A1219" t="inlineStr">
        <is>
          <t xml:space="preserve">home occupant </t>
        </is>
      </c>
      <c r="B1219">
        <f>VLOOKUP(903,Requirements!A2:B2967,2,FALSE)</f>
        <v/>
      </c>
    </row>
    <row r="1220">
      <c r="A1220" t="inlineStr">
        <is>
          <t xml:space="preserve">home occupant </t>
        </is>
      </c>
      <c r="B1220">
        <f>VLOOKUP(904,Requirements!A2:B2967,2,FALSE)</f>
        <v/>
      </c>
    </row>
    <row r="1221">
      <c r="A1221" t="inlineStr">
        <is>
          <t xml:space="preserve">home occupant </t>
        </is>
      </c>
      <c r="B1221">
        <f>VLOOKUP(906,Requirements!A2:B2967,2,FALSE)</f>
        <v/>
      </c>
    </row>
    <row r="1222">
      <c r="A1222" t="inlineStr">
        <is>
          <t xml:space="preserve">home occupant </t>
        </is>
      </c>
      <c r="B1222">
        <f>VLOOKUP(908,Requirements!A2:B2967,2,FALSE)</f>
        <v/>
      </c>
    </row>
    <row r="1223">
      <c r="A1223" t="inlineStr">
        <is>
          <t xml:space="preserve">home occupant </t>
        </is>
      </c>
      <c r="B1223">
        <f>VLOOKUP(914,Requirements!A2:B2967,2,FALSE)</f>
        <v/>
      </c>
    </row>
    <row r="1224">
      <c r="A1224" t="inlineStr">
        <is>
          <t xml:space="preserve">home occupant </t>
        </is>
      </c>
      <c r="B1224">
        <f>VLOOKUP(915,Requirements!A2:B2967,2,FALSE)</f>
        <v/>
      </c>
    </row>
    <row r="1225">
      <c r="A1225" t="inlineStr">
        <is>
          <t xml:space="preserve">home occupant </t>
        </is>
      </c>
      <c r="B1225">
        <f>VLOOKUP(920,Requirements!A2:B2967,2,FALSE)</f>
        <v/>
      </c>
    </row>
    <row r="1226">
      <c r="A1226" t="inlineStr">
        <is>
          <t xml:space="preserve">home occupant </t>
        </is>
      </c>
      <c r="B1226">
        <f>VLOOKUP(925,Requirements!A2:B2967,2,FALSE)</f>
        <v/>
      </c>
    </row>
    <row r="1227">
      <c r="A1227" t="inlineStr">
        <is>
          <t xml:space="preserve">home occupant </t>
        </is>
      </c>
      <c r="B1227">
        <f>VLOOKUP(926,Requirements!A2:B2967,2,FALSE)</f>
        <v/>
      </c>
    </row>
    <row r="1228">
      <c r="A1228" t="inlineStr">
        <is>
          <t xml:space="preserve">home occupant </t>
        </is>
      </c>
      <c r="B1228">
        <f>VLOOKUP(928,Requirements!A2:B2967,2,FALSE)</f>
        <v/>
      </c>
    </row>
    <row r="1229">
      <c r="A1229" t="inlineStr">
        <is>
          <t xml:space="preserve">home occupant </t>
        </is>
      </c>
      <c r="B1229">
        <f>VLOOKUP(930,Requirements!A2:B2967,2,FALSE)</f>
        <v/>
      </c>
    </row>
    <row r="1230">
      <c r="A1230" t="inlineStr">
        <is>
          <t xml:space="preserve">home occupant </t>
        </is>
      </c>
      <c r="B1230">
        <f>VLOOKUP(934,Requirements!A2:B2967,2,FALSE)</f>
        <v/>
      </c>
    </row>
    <row r="1231">
      <c r="A1231" t="inlineStr">
        <is>
          <t xml:space="preserve">home occupant </t>
        </is>
      </c>
      <c r="B1231">
        <f>VLOOKUP(937,Requirements!A2:B2967,2,FALSE)</f>
        <v/>
      </c>
    </row>
    <row r="1232">
      <c r="A1232" t="inlineStr">
        <is>
          <t xml:space="preserve">home occupant </t>
        </is>
      </c>
      <c r="B1232">
        <f>VLOOKUP(938,Requirements!A2:B2967,2,FALSE)</f>
        <v/>
      </c>
    </row>
    <row r="1233">
      <c r="A1233" t="inlineStr">
        <is>
          <t xml:space="preserve">home occupant </t>
        </is>
      </c>
      <c r="B1233">
        <f>VLOOKUP(939,Requirements!A2:B2967,2,FALSE)</f>
        <v/>
      </c>
    </row>
    <row r="1234">
      <c r="A1234" t="inlineStr">
        <is>
          <t xml:space="preserve">home occupant </t>
        </is>
      </c>
      <c r="B1234">
        <f>VLOOKUP(940,Requirements!A2:B2967,2,FALSE)</f>
        <v/>
      </c>
    </row>
    <row r="1235">
      <c r="A1235" t="inlineStr">
        <is>
          <t xml:space="preserve">home occupant </t>
        </is>
      </c>
      <c r="B1235">
        <f>VLOOKUP(941,Requirements!A2:B2967,2,FALSE)</f>
        <v/>
      </c>
    </row>
    <row r="1236">
      <c r="A1236" t="inlineStr">
        <is>
          <t xml:space="preserve">home occupant </t>
        </is>
      </c>
      <c r="B1236">
        <f>VLOOKUP(942,Requirements!A2:B2967,2,FALSE)</f>
        <v/>
      </c>
    </row>
    <row r="1237">
      <c r="A1237" t="inlineStr">
        <is>
          <t xml:space="preserve">home occupant </t>
        </is>
      </c>
      <c r="B1237">
        <f>VLOOKUP(943,Requirements!A2:B2967,2,FALSE)</f>
        <v/>
      </c>
    </row>
    <row r="1238">
      <c r="A1238" t="inlineStr">
        <is>
          <t xml:space="preserve">home occupant </t>
        </is>
      </c>
      <c r="B1238">
        <f>VLOOKUP(944,Requirements!A2:B2967,2,FALSE)</f>
        <v/>
      </c>
    </row>
    <row r="1239">
      <c r="A1239" t="inlineStr">
        <is>
          <t xml:space="preserve">home occupant </t>
        </is>
      </c>
      <c r="B1239">
        <f>VLOOKUP(945,Requirements!A2:B2967,2,FALSE)</f>
        <v/>
      </c>
    </row>
    <row r="1240">
      <c r="A1240" t="inlineStr">
        <is>
          <t xml:space="preserve">home occupant </t>
        </is>
      </c>
      <c r="B1240">
        <f>VLOOKUP(956,Requirements!A2:B2967,2,FALSE)</f>
        <v/>
      </c>
    </row>
    <row r="1241">
      <c r="A1241" t="inlineStr">
        <is>
          <t xml:space="preserve">home occupant </t>
        </is>
      </c>
      <c r="B1241">
        <f>VLOOKUP(958,Requirements!A2:B2967,2,FALSE)</f>
        <v/>
      </c>
    </row>
    <row r="1242">
      <c r="A1242" t="inlineStr">
        <is>
          <t xml:space="preserve">home occupant </t>
        </is>
      </c>
      <c r="B1242">
        <f>VLOOKUP(961,Requirements!A2:B2967,2,FALSE)</f>
        <v/>
      </c>
    </row>
    <row r="1243">
      <c r="A1243" t="inlineStr">
        <is>
          <t xml:space="preserve">home occupant </t>
        </is>
      </c>
      <c r="B1243">
        <f>VLOOKUP(962,Requirements!A2:B2967,2,FALSE)</f>
        <v/>
      </c>
    </row>
    <row r="1244">
      <c r="A1244" t="inlineStr">
        <is>
          <t xml:space="preserve">home occupant </t>
        </is>
      </c>
      <c r="B1244">
        <f>VLOOKUP(964,Requirements!A2:B2967,2,FALSE)</f>
        <v/>
      </c>
    </row>
    <row r="1245">
      <c r="A1245" t="inlineStr">
        <is>
          <t xml:space="preserve">home occupant </t>
        </is>
      </c>
      <c r="B1245">
        <f>VLOOKUP(965,Requirements!A2:B2967,2,FALSE)</f>
        <v/>
      </c>
    </row>
    <row r="1246">
      <c r="A1246" t="inlineStr">
        <is>
          <t xml:space="preserve">home occupant </t>
        </is>
      </c>
      <c r="B1246">
        <f>VLOOKUP(975,Requirements!A2:B2967,2,FALSE)</f>
        <v/>
      </c>
    </row>
    <row r="1247">
      <c r="A1247" t="inlineStr">
        <is>
          <t xml:space="preserve">home occupant </t>
        </is>
      </c>
      <c r="B1247">
        <f>VLOOKUP(984,Requirements!A2:B2967,2,FALSE)</f>
        <v/>
      </c>
    </row>
    <row r="1248">
      <c r="A1248" t="inlineStr">
        <is>
          <t xml:space="preserve">home occupant </t>
        </is>
      </c>
      <c r="B1248">
        <f>VLOOKUP(990,Requirements!A2:B2967,2,FALSE)</f>
        <v/>
      </c>
    </row>
    <row r="1249">
      <c r="A1249" t="inlineStr">
        <is>
          <t xml:space="preserve">home occupant </t>
        </is>
      </c>
      <c r="B1249">
        <f>VLOOKUP(997,Requirements!A2:B2967,2,FALSE)</f>
        <v/>
      </c>
    </row>
    <row r="1250">
      <c r="A1250" t="inlineStr">
        <is>
          <t xml:space="preserve">home occupant </t>
        </is>
      </c>
      <c r="B1250">
        <f>VLOOKUP(999,Requirements!A2:B2967,2,FALSE)</f>
        <v/>
      </c>
    </row>
    <row r="1251">
      <c r="A1251" t="inlineStr">
        <is>
          <t xml:space="preserve">home occupant </t>
        </is>
      </c>
      <c r="B1251">
        <f>VLOOKUP(1004,Requirements!A2:B2967,2,FALSE)</f>
        <v/>
      </c>
    </row>
    <row r="1252">
      <c r="A1252" t="inlineStr">
        <is>
          <t xml:space="preserve">home occupant </t>
        </is>
      </c>
      <c r="B1252">
        <f>VLOOKUP(1005,Requirements!A2:B2967,2,FALSE)</f>
        <v/>
      </c>
    </row>
    <row r="1253">
      <c r="A1253" t="inlineStr">
        <is>
          <t xml:space="preserve">home occupant </t>
        </is>
      </c>
      <c r="B1253">
        <f>VLOOKUP(1007,Requirements!A2:B2967,2,FALSE)</f>
        <v/>
      </c>
    </row>
    <row r="1254">
      <c r="A1254" t="inlineStr">
        <is>
          <t xml:space="preserve">home occupant </t>
        </is>
      </c>
      <c r="B1254">
        <f>VLOOKUP(1030,Requirements!A2:B2967,2,FALSE)</f>
        <v/>
      </c>
    </row>
    <row r="1255">
      <c r="A1255" t="inlineStr">
        <is>
          <t xml:space="preserve">home occupant </t>
        </is>
      </c>
      <c r="B1255">
        <f>VLOOKUP(1031,Requirements!A2:B2967,2,FALSE)</f>
        <v/>
      </c>
    </row>
    <row r="1256">
      <c r="A1256" t="inlineStr">
        <is>
          <t xml:space="preserve">home occupant </t>
        </is>
      </c>
      <c r="B1256">
        <f>VLOOKUP(1037,Requirements!A2:B2967,2,FALSE)</f>
        <v/>
      </c>
    </row>
    <row r="1257">
      <c r="A1257" t="inlineStr">
        <is>
          <t xml:space="preserve">home occupant </t>
        </is>
      </c>
      <c r="B1257">
        <f>VLOOKUP(1041,Requirements!A2:B2967,2,FALSE)</f>
        <v/>
      </c>
    </row>
    <row r="1258">
      <c r="A1258" t="inlineStr">
        <is>
          <t xml:space="preserve">home occupant </t>
        </is>
      </c>
      <c r="B1258">
        <f>VLOOKUP(1042,Requirements!A2:B2967,2,FALSE)</f>
        <v/>
      </c>
    </row>
    <row r="1259">
      <c r="A1259" t="inlineStr">
        <is>
          <t xml:space="preserve">home occupant </t>
        </is>
      </c>
      <c r="B1259">
        <f>VLOOKUP(1044,Requirements!A2:B2967,2,FALSE)</f>
        <v/>
      </c>
    </row>
    <row r="1260">
      <c r="A1260" t="inlineStr">
        <is>
          <t xml:space="preserve">home occupant </t>
        </is>
      </c>
      <c r="B1260">
        <f>VLOOKUP(1046,Requirements!A2:B2967,2,FALSE)</f>
        <v/>
      </c>
    </row>
    <row r="1261">
      <c r="A1261" t="inlineStr">
        <is>
          <t xml:space="preserve">home occupant </t>
        </is>
      </c>
      <c r="B1261">
        <f>VLOOKUP(1049,Requirements!A2:B2967,2,FALSE)</f>
        <v/>
      </c>
    </row>
    <row r="1262">
      <c r="A1262" t="inlineStr">
        <is>
          <t xml:space="preserve">home occupant </t>
        </is>
      </c>
      <c r="B1262">
        <f>VLOOKUP(1055,Requirements!A2:B2967,2,FALSE)</f>
        <v/>
      </c>
    </row>
    <row r="1263">
      <c r="A1263" t="inlineStr">
        <is>
          <t xml:space="preserve">home occupant </t>
        </is>
      </c>
      <c r="B1263">
        <f>VLOOKUP(1069,Requirements!A2:B2967,2,FALSE)</f>
        <v/>
      </c>
    </row>
    <row r="1264">
      <c r="A1264" t="inlineStr">
        <is>
          <t xml:space="preserve">home occupant </t>
        </is>
      </c>
      <c r="B1264">
        <f>VLOOKUP(1076,Requirements!A2:B2967,2,FALSE)</f>
        <v/>
      </c>
    </row>
    <row r="1265">
      <c r="A1265" t="inlineStr">
        <is>
          <t xml:space="preserve">home occupant </t>
        </is>
      </c>
      <c r="B1265">
        <f>VLOOKUP(1084,Requirements!A2:B2967,2,FALSE)</f>
        <v/>
      </c>
    </row>
    <row r="1266">
      <c r="A1266" t="inlineStr">
        <is>
          <t xml:space="preserve">home occupant </t>
        </is>
      </c>
      <c r="B1266">
        <f>VLOOKUP(1093,Requirements!A2:B2967,2,FALSE)</f>
        <v/>
      </c>
    </row>
    <row r="1267">
      <c r="A1267" t="inlineStr">
        <is>
          <t xml:space="preserve">home occupant </t>
        </is>
      </c>
      <c r="B1267">
        <f>VLOOKUP(1106,Requirements!A2:B2967,2,FALSE)</f>
        <v/>
      </c>
    </row>
    <row r="1268">
      <c r="A1268" t="inlineStr">
        <is>
          <t xml:space="preserve">home occupant </t>
        </is>
      </c>
      <c r="B1268">
        <f>VLOOKUP(1119,Requirements!A2:B2967,2,FALSE)</f>
        <v/>
      </c>
    </row>
    <row r="1269">
      <c r="A1269" t="inlineStr">
        <is>
          <t xml:space="preserve">home occupant </t>
        </is>
      </c>
      <c r="B1269">
        <f>VLOOKUP(1121,Requirements!A2:B2967,2,FALSE)</f>
        <v/>
      </c>
    </row>
    <row r="1270">
      <c r="A1270" t="inlineStr">
        <is>
          <t xml:space="preserve">home occupant </t>
        </is>
      </c>
      <c r="B1270">
        <f>VLOOKUP(1123,Requirements!A2:B2967,2,FALSE)</f>
        <v/>
      </c>
    </row>
    <row r="1271">
      <c r="A1271" t="inlineStr">
        <is>
          <t xml:space="preserve">home occupant </t>
        </is>
      </c>
      <c r="B1271">
        <f>VLOOKUP(1128,Requirements!A2:B2967,2,FALSE)</f>
        <v/>
      </c>
    </row>
    <row r="1272">
      <c r="A1272" t="inlineStr">
        <is>
          <t xml:space="preserve">home occupant </t>
        </is>
      </c>
      <c r="B1272">
        <f>VLOOKUP(1135,Requirements!A2:B2967,2,FALSE)</f>
        <v/>
      </c>
    </row>
    <row r="1273">
      <c r="A1273" t="inlineStr">
        <is>
          <t xml:space="preserve">home occupant </t>
        </is>
      </c>
      <c r="B1273">
        <f>VLOOKUP(1136,Requirements!A2:B2967,2,FALSE)</f>
        <v/>
      </c>
    </row>
    <row r="1274">
      <c r="A1274" t="inlineStr">
        <is>
          <t xml:space="preserve">home occupant </t>
        </is>
      </c>
      <c r="B1274">
        <f>VLOOKUP(1151,Requirements!A2:B2967,2,FALSE)</f>
        <v/>
      </c>
    </row>
    <row r="1275">
      <c r="A1275" t="inlineStr">
        <is>
          <t xml:space="preserve">home occupant </t>
        </is>
      </c>
      <c r="B1275">
        <f>VLOOKUP(1153,Requirements!A2:B2967,2,FALSE)</f>
        <v/>
      </c>
    </row>
    <row r="1276">
      <c r="A1276" t="inlineStr">
        <is>
          <t xml:space="preserve">home occupant </t>
        </is>
      </c>
      <c r="B1276">
        <f>VLOOKUP(1155,Requirements!A2:B2967,2,FALSE)</f>
        <v/>
      </c>
    </row>
    <row r="1277">
      <c r="A1277" t="inlineStr">
        <is>
          <t xml:space="preserve">home occupant </t>
        </is>
      </c>
      <c r="B1277">
        <f>VLOOKUP(1156,Requirements!A2:B2967,2,FALSE)</f>
        <v/>
      </c>
    </row>
    <row r="1278">
      <c r="A1278" t="inlineStr">
        <is>
          <t xml:space="preserve">home occupant </t>
        </is>
      </c>
      <c r="B1278">
        <f>VLOOKUP(1157,Requirements!A2:B2967,2,FALSE)</f>
        <v/>
      </c>
    </row>
    <row r="1279">
      <c r="A1279" t="inlineStr">
        <is>
          <t xml:space="preserve">home occupant </t>
        </is>
      </c>
      <c r="B1279">
        <f>VLOOKUP(1158,Requirements!A2:B2967,2,FALSE)</f>
        <v/>
      </c>
    </row>
    <row r="1280">
      <c r="A1280" t="inlineStr">
        <is>
          <t xml:space="preserve">home occupant </t>
        </is>
      </c>
      <c r="B1280">
        <f>VLOOKUP(1159,Requirements!A2:B2967,2,FALSE)</f>
        <v/>
      </c>
    </row>
    <row r="1281">
      <c r="A1281" t="inlineStr">
        <is>
          <t xml:space="preserve">home occupant </t>
        </is>
      </c>
      <c r="B1281">
        <f>VLOOKUP(1160,Requirements!A2:B2967,2,FALSE)</f>
        <v/>
      </c>
    </row>
    <row r="1282">
      <c r="A1282" t="inlineStr">
        <is>
          <t xml:space="preserve">home occupant </t>
        </is>
      </c>
      <c r="B1282">
        <f>VLOOKUP(1161,Requirements!A2:B2967,2,FALSE)</f>
        <v/>
      </c>
    </row>
    <row r="1283">
      <c r="A1283" t="inlineStr">
        <is>
          <t xml:space="preserve">home occupant </t>
        </is>
      </c>
      <c r="B1283">
        <f>VLOOKUP(1162,Requirements!A2:B2967,2,FALSE)</f>
        <v/>
      </c>
    </row>
    <row r="1284">
      <c r="A1284" t="inlineStr">
        <is>
          <t xml:space="preserve">home occupant </t>
        </is>
      </c>
      <c r="B1284">
        <f>VLOOKUP(1165,Requirements!A2:B2967,2,FALSE)</f>
        <v/>
      </c>
    </row>
    <row r="1285">
      <c r="A1285" t="inlineStr">
        <is>
          <t xml:space="preserve">home occupant </t>
        </is>
      </c>
      <c r="B1285">
        <f>VLOOKUP(1168,Requirements!A2:B2967,2,FALSE)</f>
        <v/>
      </c>
    </row>
    <row r="1286">
      <c r="A1286" t="inlineStr">
        <is>
          <t xml:space="preserve">home occupant </t>
        </is>
      </c>
      <c r="B1286">
        <f>VLOOKUP(1184,Requirements!A2:B2967,2,FALSE)</f>
        <v/>
      </c>
    </row>
    <row r="1287">
      <c r="A1287" t="inlineStr">
        <is>
          <t xml:space="preserve">home occupant </t>
        </is>
      </c>
      <c r="B1287">
        <f>VLOOKUP(1185,Requirements!A2:B2967,2,FALSE)</f>
        <v/>
      </c>
    </row>
    <row r="1288">
      <c r="A1288" t="inlineStr">
        <is>
          <t xml:space="preserve">home occupant </t>
        </is>
      </c>
      <c r="B1288">
        <f>VLOOKUP(1186,Requirements!A2:B2967,2,FALSE)</f>
        <v/>
      </c>
    </row>
    <row r="1289">
      <c r="A1289" t="inlineStr">
        <is>
          <t xml:space="preserve">home occupant </t>
        </is>
      </c>
      <c r="B1289">
        <f>VLOOKUP(1213,Requirements!A2:B2967,2,FALSE)</f>
        <v/>
      </c>
    </row>
    <row r="1290">
      <c r="A1290" t="inlineStr">
        <is>
          <t xml:space="preserve">home occupant </t>
        </is>
      </c>
      <c r="B1290">
        <f>VLOOKUP(1219,Requirements!A2:B2967,2,FALSE)</f>
        <v/>
      </c>
    </row>
    <row r="1291">
      <c r="A1291" t="inlineStr">
        <is>
          <t xml:space="preserve">home occupant </t>
        </is>
      </c>
      <c r="B1291">
        <f>VLOOKUP(1221,Requirements!A2:B2967,2,FALSE)</f>
        <v/>
      </c>
    </row>
    <row r="1292">
      <c r="A1292" t="inlineStr">
        <is>
          <t xml:space="preserve">home occupant </t>
        </is>
      </c>
      <c r="B1292">
        <f>VLOOKUP(1222,Requirements!A2:B2967,2,FALSE)</f>
        <v/>
      </c>
    </row>
    <row r="1293">
      <c r="A1293" t="inlineStr">
        <is>
          <t xml:space="preserve">home occupant </t>
        </is>
      </c>
      <c r="B1293">
        <f>VLOOKUP(1223,Requirements!A2:B2967,2,FALSE)</f>
        <v/>
      </c>
    </row>
    <row r="1294">
      <c r="A1294" t="inlineStr">
        <is>
          <t xml:space="preserve">home occupant </t>
        </is>
      </c>
      <c r="B1294">
        <f>VLOOKUP(1224,Requirements!A2:B2967,2,FALSE)</f>
        <v/>
      </c>
    </row>
    <row r="1295">
      <c r="A1295" t="inlineStr">
        <is>
          <t xml:space="preserve">home occupant </t>
        </is>
      </c>
      <c r="B1295">
        <f>VLOOKUP(1225,Requirements!A2:B2967,2,FALSE)</f>
        <v/>
      </c>
    </row>
    <row r="1296">
      <c r="A1296" t="inlineStr">
        <is>
          <t xml:space="preserve">home occupant </t>
        </is>
      </c>
      <c r="B1296">
        <f>VLOOKUP(1227,Requirements!A2:B2967,2,FALSE)</f>
        <v/>
      </c>
    </row>
    <row r="1297">
      <c r="A1297" t="inlineStr">
        <is>
          <t xml:space="preserve">home occupant </t>
        </is>
      </c>
      <c r="B1297">
        <f>VLOOKUP(1228,Requirements!A2:B2967,2,FALSE)</f>
        <v/>
      </c>
    </row>
    <row r="1298">
      <c r="A1298" t="inlineStr">
        <is>
          <t xml:space="preserve">home occupant </t>
        </is>
      </c>
      <c r="B1298">
        <f>VLOOKUP(1246,Requirements!A2:B2967,2,FALSE)</f>
        <v/>
      </c>
    </row>
    <row r="1299">
      <c r="A1299" t="inlineStr">
        <is>
          <t xml:space="preserve">home occupant </t>
        </is>
      </c>
      <c r="B1299">
        <f>VLOOKUP(1249,Requirements!A2:B2967,2,FALSE)</f>
        <v/>
      </c>
    </row>
    <row r="1300">
      <c r="A1300" t="inlineStr">
        <is>
          <t xml:space="preserve">home occupant </t>
        </is>
      </c>
      <c r="B1300">
        <f>VLOOKUP(1250,Requirements!A2:B2967,2,FALSE)</f>
        <v/>
      </c>
    </row>
    <row r="1301">
      <c r="A1301" t="inlineStr">
        <is>
          <t xml:space="preserve">home occupant </t>
        </is>
      </c>
      <c r="B1301">
        <f>VLOOKUP(1251,Requirements!A2:B2967,2,FALSE)</f>
        <v/>
      </c>
    </row>
    <row r="1302">
      <c r="A1302" t="inlineStr">
        <is>
          <t xml:space="preserve">home occupant </t>
        </is>
      </c>
      <c r="B1302">
        <f>VLOOKUP(1252,Requirements!A2:B2967,2,FALSE)</f>
        <v/>
      </c>
    </row>
    <row r="1303">
      <c r="A1303" t="inlineStr">
        <is>
          <t xml:space="preserve">home occupant </t>
        </is>
      </c>
      <c r="B1303">
        <f>VLOOKUP(1253,Requirements!A2:B2967,2,FALSE)</f>
        <v/>
      </c>
    </row>
    <row r="1304">
      <c r="A1304" t="inlineStr">
        <is>
          <t xml:space="preserve">home occupant </t>
        </is>
      </c>
      <c r="B1304">
        <f>VLOOKUP(1255,Requirements!A2:B2967,2,FALSE)</f>
        <v/>
      </c>
    </row>
    <row r="1305">
      <c r="A1305" t="inlineStr">
        <is>
          <t xml:space="preserve">home occupant </t>
        </is>
      </c>
      <c r="B1305">
        <f>VLOOKUP(1256,Requirements!A2:B2967,2,FALSE)</f>
        <v/>
      </c>
    </row>
    <row r="1306">
      <c r="A1306" t="inlineStr">
        <is>
          <t xml:space="preserve">home occupant </t>
        </is>
      </c>
      <c r="B1306">
        <f>VLOOKUP(1257,Requirements!A2:B2967,2,FALSE)</f>
        <v/>
      </c>
    </row>
    <row r="1307">
      <c r="A1307" t="inlineStr">
        <is>
          <t xml:space="preserve">home occupant </t>
        </is>
      </c>
      <c r="B1307">
        <f>VLOOKUP(1261,Requirements!A2:B2967,2,FALSE)</f>
        <v/>
      </c>
    </row>
    <row r="1308">
      <c r="A1308" t="inlineStr">
        <is>
          <t xml:space="preserve">home occupant </t>
        </is>
      </c>
      <c r="B1308">
        <f>VLOOKUP(1262,Requirements!A2:B2967,2,FALSE)</f>
        <v/>
      </c>
    </row>
    <row r="1309">
      <c r="A1309" t="inlineStr">
        <is>
          <t xml:space="preserve">home occupant </t>
        </is>
      </c>
      <c r="B1309">
        <f>VLOOKUP(1266,Requirements!A2:B2967,2,FALSE)</f>
        <v/>
      </c>
    </row>
    <row r="1310">
      <c r="A1310" t="inlineStr">
        <is>
          <t xml:space="preserve">home occupant </t>
        </is>
      </c>
      <c r="B1310">
        <f>VLOOKUP(1267,Requirements!A2:B2967,2,FALSE)</f>
        <v/>
      </c>
    </row>
    <row r="1311">
      <c r="A1311" t="inlineStr">
        <is>
          <t xml:space="preserve">home occupant </t>
        </is>
      </c>
      <c r="B1311">
        <f>VLOOKUP(1268,Requirements!A2:B2967,2,FALSE)</f>
        <v/>
      </c>
    </row>
    <row r="1312">
      <c r="A1312" t="inlineStr">
        <is>
          <t xml:space="preserve">home occupant </t>
        </is>
      </c>
      <c r="B1312">
        <f>VLOOKUP(1269,Requirements!A2:B2967,2,FALSE)</f>
        <v/>
      </c>
    </row>
    <row r="1313">
      <c r="A1313" t="inlineStr">
        <is>
          <t xml:space="preserve">home occupant </t>
        </is>
      </c>
      <c r="B1313">
        <f>VLOOKUP(1271,Requirements!A2:B2967,2,FALSE)</f>
        <v/>
      </c>
    </row>
    <row r="1314">
      <c r="A1314" t="inlineStr">
        <is>
          <t xml:space="preserve">home occupant </t>
        </is>
      </c>
      <c r="B1314">
        <f>VLOOKUP(1272,Requirements!A2:B2967,2,FALSE)</f>
        <v/>
      </c>
    </row>
    <row r="1315">
      <c r="A1315" t="inlineStr">
        <is>
          <t xml:space="preserve">home occupant </t>
        </is>
      </c>
      <c r="B1315">
        <f>VLOOKUP(1273,Requirements!A2:B2967,2,FALSE)</f>
        <v/>
      </c>
    </row>
    <row r="1316">
      <c r="A1316" t="inlineStr">
        <is>
          <t xml:space="preserve">home occupant </t>
        </is>
      </c>
      <c r="B1316">
        <f>VLOOKUP(1274,Requirements!A2:B2967,2,FALSE)</f>
        <v/>
      </c>
    </row>
    <row r="1317">
      <c r="A1317" t="inlineStr">
        <is>
          <t xml:space="preserve">home occupant </t>
        </is>
      </c>
      <c r="B1317">
        <f>VLOOKUP(1278,Requirements!A2:B2967,2,FALSE)</f>
        <v/>
      </c>
    </row>
    <row r="1318">
      <c r="A1318" t="inlineStr">
        <is>
          <t xml:space="preserve">home occupant </t>
        </is>
      </c>
      <c r="B1318">
        <f>VLOOKUP(1280,Requirements!A2:B2967,2,FALSE)</f>
        <v/>
      </c>
    </row>
    <row r="1319">
      <c r="A1319" t="inlineStr">
        <is>
          <t xml:space="preserve">home occupant </t>
        </is>
      </c>
      <c r="B1319">
        <f>VLOOKUP(1281,Requirements!A2:B2967,2,FALSE)</f>
        <v/>
      </c>
    </row>
    <row r="1320">
      <c r="A1320" t="inlineStr">
        <is>
          <t xml:space="preserve">home occupant </t>
        </is>
      </c>
      <c r="B1320">
        <f>VLOOKUP(1282,Requirements!A2:B2967,2,FALSE)</f>
        <v/>
      </c>
    </row>
    <row r="1321">
      <c r="A1321" t="inlineStr">
        <is>
          <t xml:space="preserve">home occupant </t>
        </is>
      </c>
      <c r="B1321">
        <f>VLOOKUP(1284,Requirements!A2:B2967,2,FALSE)</f>
        <v/>
      </c>
    </row>
    <row r="1322">
      <c r="A1322" t="inlineStr">
        <is>
          <t xml:space="preserve">home occupant </t>
        </is>
      </c>
      <c r="B1322">
        <f>VLOOKUP(1287,Requirements!A2:B2967,2,FALSE)</f>
        <v/>
      </c>
    </row>
    <row r="1323">
      <c r="A1323" t="inlineStr">
        <is>
          <t xml:space="preserve">home occupant </t>
        </is>
      </c>
      <c r="B1323">
        <f>VLOOKUP(1290,Requirements!A2:B2967,2,FALSE)</f>
        <v/>
      </c>
    </row>
    <row r="1324">
      <c r="A1324" t="inlineStr">
        <is>
          <t xml:space="preserve">home occupant </t>
        </is>
      </c>
      <c r="B1324">
        <f>VLOOKUP(1291,Requirements!A2:B2967,2,FALSE)</f>
        <v/>
      </c>
    </row>
    <row r="1325">
      <c r="A1325" t="inlineStr">
        <is>
          <t xml:space="preserve">home occupant </t>
        </is>
      </c>
      <c r="B1325">
        <f>VLOOKUP(1293,Requirements!A2:B2967,2,FALSE)</f>
        <v/>
      </c>
    </row>
    <row r="1326">
      <c r="A1326" t="inlineStr">
        <is>
          <t xml:space="preserve">home occupant </t>
        </is>
      </c>
      <c r="B1326">
        <f>VLOOKUP(1294,Requirements!A2:B2967,2,FALSE)</f>
        <v/>
      </c>
    </row>
    <row r="1327">
      <c r="A1327" t="inlineStr">
        <is>
          <t xml:space="preserve">home occupant </t>
        </is>
      </c>
      <c r="B1327">
        <f>VLOOKUP(1295,Requirements!A2:B2967,2,FALSE)</f>
        <v/>
      </c>
    </row>
    <row r="1328">
      <c r="A1328" t="inlineStr">
        <is>
          <t xml:space="preserve">home occupant </t>
        </is>
      </c>
      <c r="B1328">
        <f>VLOOKUP(1297,Requirements!A2:B2967,2,FALSE)</f>
        <v/>
      </c>
    </row>
    <row r="1329">
      <c r="A1329" t="inlineStr">
        <is>
          <t xml:space="preserve">home occupant </t>
        </is>
      </c>
      <c r="B1329">
        <f>VLOOKUP(1298,Requirements!A2:B2967,2,FALSE)</f>
        <v/>
      </c>
    </row>
    <row r="1330">
      <c r="A1330" t="inlineStr">
        <is>
          <t xml:space="preserve">home occupant </t>
        </is>
      </c>
      <c r="B1330">
        <f>VLOOKUP(1299,Requirements!A2:B2967,2,FALSE)</f>
        <v/>
      </c>
    </row>
    <row r="1331">
      <c r="A1331" t="inlineStr">
        <is>
          <t xml:space="preserve">home occupant </t>
        </is>
      </c>
      <c r="B1331">
        <f>VLOOKUP(1300,Requirements!A2:B2967,2,FALSE)</f>
        <v/>
      </c>
    </row>
    <row r="1332">
      <c r="A1332" t="inlineStr">
        <is>
          <t xml:space="preserve">home occupant </t>
        </is>
      </c>
      <c r="B1332">
        <f>VLOOKUP(1304,Requirements!A2:B2967,2,FALSE)</f>
        <v/>
      </c>
    </row>
    <row r="1333">
      <c r="A1333" t="inlineStr">
        <is>
          <t xml:space="preserve">home occupant </t>
        </is>
      </c>
      <c r="B1333">
        <f>VLOOKUP(1305,Requirements!A2:B2967,2,FALSE)</f>
        <v/>
      </c>
    </row>
    <row r="1334">
      <c r="A1334" t="inlineStr">
        <is>
          <t xml:space="preserve">home occupant </t>
        </is>
      </c>
      <c r="B1334">
        <f>VLOOKUP(1307,Requirements!A2:B2967,2,FALSE)</f>
        <v/>
      </c>
    </row>
    <row r="1335">
      <c r="A1335" t="inlineStr">
        <is>
          <t xml:space="preserve">home occupant </t>
        </is>
      </c>
      <c r="B1335">
        <f>VLOOKUP(1309,Requirements!A2:B2967,2,FALSE)</f>
        <v/>
      </c>
    </row>
    <row r="1336">
      <c r="A1336" t="inlineStr">
        <is>
          <t xml:space="preserve">home occupant </t>
        </is>
      </c>
      <c r="B1336">
        <f>VLOOKUP(1310,Requirements!A2:B2967,2,FALSE)</f>
        <v/>
      </c>
    </row>
    <row r="1337">
      <c r="A1337" t="inlineStr">
        <is>
          <t xml:space="preserve">home occupant </t>
        </is>
      </c>
      <c r="B1337">
        <f>VLOOKUP(1317,Requirements!A2:B2967,2,FALSE)</f>
        <v/>
      </c>
    </row>
    <row r="1338">
      <c r="A1338" t="inlineStr">
        <is>
          <t xml:space="preserve">home occupant </t>
        </is>
      </c>
      <c r="B1338">
        <f>VLOOKUP(1322,Requirements!A2:B2967,2,FALSE)</f>
        <v/>
      </c>
    </row>
    <row r="1339">
      <c r="A1339" t="inlineStr">
        <is>
          <t xml:space="preserve">home occupant </t>
        </is>
      </c>
      <c r="B1339">
        <f>VLOOKUP(1325,Requirements!A2:B2967,2,FALSE)</f>
        <v/>
      </c>
    </row>
    <row r="1340">
      <c r="A1340" t="inlineStr">
        <is>
          <t xml:space="preserve">home occupant </t>
        </is>
      </c>
      <c r="B1340">
        <f>VLOOKUP(1327,Requirements!A2:B2967,2,FALSE)</f>
        <v/>
      </c>
    </row>
    <row r="1341">
      <c r="A1341" t="inlineStr">
        <is>
          <t xml:space="preserve">home occupant </t>
        </is>
      </c>
      <c r="B1341">
        <f>VLOOKUP(1330,Requirements!A2:B2967,2,FALSE)</f>
        <v/>
      </c>
    </row>
    <row r="1342">
      <c r="A1342" t="inlineStr">
        <is>
          <t xml:space="preserve">home occupant </t>
        </is>
      </c>
      <c r="B1342">
        <f>VLOOKUP(1333,Requirements!A2:B2967,2,FALSE)</f>
        <v/>
      </c>
    </row>
    <row r="1343">
      <c r="A1343" t="inlineStr">
        <is>
          <t xml:space="preserve">home occupant </t>
        </is>
      </c>
      <c r="B1343">
        <f>VLOOKUP(1334,Requirements!A2:B2967,2,FALSE)</f>
        <v/>
      </c>
    </row>
    <row r="1344">
      <c r="A1344" t="inlineStr">
        <is>
          <t xml:space="preserve">home occupant </t>
        </is>
      </c>
      <c r="B1344">
        <f>VLOOKUP(1336,Requirements!A2:B2967,2,FALSE)</f>
        <v/>
      </c>
    </row>
    <row r="1345">
      <c r="A1345" t="inlineStr">
        <is>
          <t xml:space="preserve">home occupant </t>
        </is>
      </c>
      <c r="B1345">
        <f>VLOOKUP(1338,Requirements!A2:B2967,2,FALSE)</f>
        <v/>
      </c>
    </row>
    <row r="1346">
      <c r="A1346" t="inlineStr">
        <is>
          <t xml:space="preserve">home occupant </t>
        </is>
      </c>
      <c r="B1346">
        <f>VLOOKUP(1339,Requirements!A2:B2967,2,FALSE)</f>
        <v/>
      </c>
    </row>
    <row r="1347">
      <c r="A1347" t="inlineStr">
        <is>
          <t xml:space="preserve">home occupant </t>
        </is>
      </c>
      <c r="B1347">
        <f>VLOOKUP(1344,Requirements!A2:B2967,2,FALSE)</f>
        <v/>
      </c>
    </row>
    <row r="1348">
      <c r="A1348" t="inlineStr">
        <is>
          <t xml:space="preserve">home occupant </t>
        </is>
      </c>
      <c r="B1348">
        <f>VLOOKUP(1383,Requirements!A2:B2967,2,FALSE)</f>
        <v/>
      </c>
    </row>
    <row r="1349">
      <c r="A1349" t="inlineStr">
        <is>
          <t xml:space="preserve">home occupant </t>
        </is>
      </c>
      <c r="B1349">
        <f>VLOOKUP(1384,Requirements!A2:B2967,2,FALSE)</f>
        <v/>
      </c>
    </row>
    <row r="1350">
      <c r="A1350" t="inlineStr">
        <is>
          <t xml:space="preserve">home occupant </t>
        </is>
      </c>
      <c r="B1350">
        <f>VLOOKUP(1386,Requirements!A2:B2967,2,FALSE)</f>
        <v/>
      </c>
    </row>
    <row r="1351">
      <c r="A1351" t="inlineStr">
        <is>
          <t xml:space="preserve">home occupant </t>
        </is>
      </c>
      <c r="B1351">
        <f>VLOOKUP(1396,Requirements!A2:B2967,2,FALSE)</f>
        <v/>
      </c>
    </row>
    <row r="1352">
      <c r="A1352" t="inlineStr">
        <is>
          <t xml:space="preserve">home occupant </t>
        </is>
      </c>
      <c r="B1352">
        <f>VLOOKUP(1400,Requirements!A2:B2967,2,FALSE)</f>
        <v/>
      </c>
    </row>
    <row r="1353">
      <c r="A1353" t="inlineStr">
        <is>
          <t xml:space="preserve">home occupant </t>
        </is>
      </c>
      <c r="B1353">
        <f>VLOOKUP(1406,Requirements!A2:B2967,2,FALSE)</f>
        <v/>
      </c>
    </row>
    <row r="1354">
      <c r="A1354" t="inlineStr">
        <is>
          <t xml:space="preserve">home occupant </t>
        </is>
      </c>
      <c r="B1354">
        <f>VLOOKUP(1407,Requirements!A2:B2967,2,FALSE)</f>
        <v/>
      </c>
    </row>
    <row r="1355">
      <c r="A1355" t="inlineStr">
        <is>
          <t xml:space="preserve">home occupant </t>
        </is>
      </c>
      <c r="B1355">
        <f>VLOOKUP(1408,Requirements!A2:B2967,2,FALSE)</f>
        <v/>
      </c>
    </row>
    <row r="1356">
      <c r="A1356" t="inlineStr">
        <is>
          <t xml:space="preserve">home occupant </t>
        </is>
      </c>
      <c r="B1356">
        <f>VLOOKUP(1410,Requirements!A2:B2967,2,FALSE)</f>
        <v/>
      </c>
    </row>
    <row r="1357">
      <c r="A1357" t="inlineStr">
        <is>
          <t xml:space="preserve">home occupant </t>
        </is>
      </c>
      <c r="B1357">
        <f>VLOOKUP(1414,Requirements!A2:B2967,2,FALSE)</f>
        <v/>
      </c>
    </row>
    <row r="1358">
      <c r="A1358" t="inlineStr">
        <is>
          <t xml:space="preserve">home occupant </t>
        </is>
      </c>
      <c r="B1358">
        <f>VLOOKUP(1416,Requirements!A2:B2967,2,FALSE)</f>
        <v/>
      </c>
    </row>
    <row r="1359">
      <c r="A1359" t="inlineStr">
        <is>
          <t xml:space="preserve">home occupant </t>
        </is>
      </c>
      <c r="B1359">
        <f>VLOOKUP(1417,Requirements!A2:B2967,2,FALSE)</f>
        <v/>
      </c>
    </row>
    <row r="1360">
      <c r="A1360" t="inlineStr">
        <is>
          <t xml:space="preserve">home occupant </t>
        </is>
      </c>
      <c r="B1360">
        <f>VLOOKUP(1466,Requirements!A2:B2967,2,FALSE)</f>
        <v/>
      </c>
    </row>
    <row r="1361">
      <c r="A1361" t="inlineStr">
        <is>
          <t xml:space="preserve">home occupant </t>
        </is>
      </c>
      <c r="B1361">
        <f>VLOOKUP(1468,Requirements!A2:B2967,2,FALSE)</f>
        <v/>
      </c>
    </row>
    <row r="1362">
      <c r="A1362" t="inlineStr">
        <is>
          <t xml:space="preserve">home occupant </t>
        </is>
      </c>
      <c r="B1362">
        <f>VLOOKUP(1469,Requirements!A2:B2967,2,FALSE)</f>
        <v/>
      </c>
    </row>
    <row r="1363">
      <c r="A1363" t="inlineStr">
        <is>
          <t xml:space="preserve">home occupant </t>
        </is>
      </c>
      <c r="B1363">
        <f>VLOOKUP(1470,Requirements!A2:B2967,2,FALSE)</f>
        <v/>
      </c>
    </row>
    <row r="1364">
      <c r="A1364" t="inlineStr">
        <is>
          <t xml:space="preserve">home occupant </t>
        </is>
      </c>
      <c r="B1364">
        <f>VLOOKUP(1478,Requirements!A2:B2967,2,FALSE)</f>
        <v/>
      </c>
    </row>
    <row r="1365">
      <c r="A1365" t="inlineStr">
        <is>
          <t xml:space="preserve">home occupant </t>
        </is>
      </c>
      <c r="B1365">
        <f>VLOOKUP(1484,Requirements!A2:B2967,2,FALSE)</f>
        <v/>
      </c>
    </row>
    <row r="1366">
      <c r="A1366" t="inlineStr">
        <is>
          <t xml:space="preserve">home occupant </t>
        </is>
      </c>
      <c r="B1366">
        <f>VLOOKUP(1485,Requirements!A2:B2967,2,FALSE)</f>
        <v/>
      </c>
    </row>
    <row r="1367">
      <c r="A1367" t="inlineStr">
        <is>
          <t xml:space="preserve">home occupant </t>
        </is>
      </c>
      <c r="B1367">
        <f>VLOOKUP(1489,Requirements!A2:B2967,2,FALSE)</f>
        <v/>
      </c>
    </row>
    <row r="1368">
      <c r="A1368" t="inlineStr">
        <is>
          <t xml:space="preserve">home occupant </t>
        </is>
      </c>
      <c r="B1368">
        <f>VLOOKUP(1490,Requirements!A2:B2967,2,FALSE)</f>
        <v/>
      </c>
    </row>
    <row r="1369">
      <c r="A1369" t="inlineStr">
        <is>
          <t xml:space="preserve">home occupant </t>
        </is>
      </c>
      <c r="B1369">
        <f>VLOOKUP(1491,Requirements!A2:B2967,2,FALSE)</f>
        <v/>
      </c>
    </row>
    <row r="1370">
      <c r="A1370" t="inlineStr">
        <is>
          <t xml:space="preserve">home occupant </t>
        </is>
      </c>
      <c r="B1370">
        <f>VLOOKUP(1492,Requirements!A2:B2967,2,FALSE)</f>
        <v/>
      </c>
    </row>
    <row r="1371">
      <c r="A1371" t="inlineStr">
        <is>
          <t xml:space="preserve">home occupant </t>
        </is>
      </c>
      <c r="B1371">
        <f>VLOOKUP(1494,Requirements!A2:B2967,2,FALSE)</f>
        <v/>
      </c>
    </row>
    <row r="1372">
      <c r="A1372" t="inlineStr">
        <is>
          <t xml:space="preserve">home occupant </t>
        </is>
      </c>
      <c r="B1372">
        <f>VLOOKUP(1497,Requirements!A2:B2967,2,FALSE)</f>
        <v/>
      </c>
    </row>
    <row r="1373">
      <c r="A1373" t="inlineStr">
        <is>
          <t xml:space="preserve">home occupant </t>
        </is>
      </c>
      <c r="B1373">
        <f>VLOOKUP(1500,Requirements!A2:B2967,2,FALSE)</f>
        <v/>
      </c>
    </row>
    <row r="1374">
      <c r="A1374" t="inlineStr">
        <is>
          <t xml:space="preserve">home occupant </t>
        </is>
      </c>
      <c r="B1374">
        <f>VLOOKUP(1502,Requirements!A2:B2967,2,FALSE)</f>
        <v/>
      </c>
    </row>
    <row r="1375">
      <c r="A1375" t="inlineStr">
        <is>
          <t xml:space="preserve">home occupant </t>
        </is>
      </c>
      <c r="B1375">
        <f>VLOOKUP(1509,Requirements!A2:B2967,2,FALSE)</f>
        <v/>
      </c>
    </row>
    <row r="1376">
      <c r="A1376" t="inlineStr">
        <is>
          <t xml:space="preserve">home occupant </t>
        </is>
      </c>
      <c r="B1376">
        <f>VLOOKUP(1510,Requirements!A2:B2967,2,FALSE)</f>
        <v/>
      </c>
    </row>
    <row r="1377">
      <c r="A1377" t="inlineStr">
        <is>
          <t xml:space="preserve">home occupant </t>
        </is>
      </c>
      <c r="B1377">
        <f>VLOOKUP(1513,Requirements!A2:B2967,2,FALSE)</f>
        <v/>
      </c>
    </row>
    <row r="1378">
      <c r="A1378" t="inlineStr">
        <is>
          <t xml:space="preserve">home occupant </t>
        </is>
      </c>
      <c r="B1378">
        <f>VLOOKUP(1518,Requirements!A2:B2967,2,FALSE)</f>
        <v/>
      </c>
    </row>
    <row r="1379">
      <c r="A1379" t="inlineStr">
        <is>
          <t xml:space="preserve">home occupant </t>
        </is>
      </c>
      <c r="B1379">
        <f>VLOOKUP(1527,Requirements!A2:B2967,2,FALSE)</f>
        <v/>
      </c>
    </row>
    <row r="1380">
      <c r="A1380" t="inlineStr">
        <is>
          <t xml:space="preserve">home occupant </t>
        </is>
      </c>
      <c r="B1380">
        <f>VLOOKUP(1528,Requirements!A2:B2967,2,FALSE)</f>
        <v/>
      </c>
    </row>
    <row r="1381">
      <c r="A1381" t="inlineStr">
        <is>
          <t xml:space="preserve">home occupant </t>
        </is>
      </c>
      <c r="B1381">
        <f>VLOOKUP(1529,Requirements!A2:B2967,2,FALSE)</f>
        <v/>
      </c>
    </row>
    <row r="1382">
      <c r="A1382" t="inlineStr">
        <is>
          <t xml:space="preserve">home occupant </t>
        </is>
      </c>
      <c r="B1382">
        <f>VLOOKUP(1531,Requirements!A2:B2967,2,FALSE)</f>
        <v/>
      </c>
    </row>
    <row r="1383">
      <c r="A1383" t="inlineStr">
        <is>
          <t xml:space="preserve">home occupant </t>
        </is>
      </c>
      <c r="B1383">
        <f>VLOOKUP(1535,Requirements!A2:B2967,2,FALSE)</f>
        <v/>
      </c>
    </row>
    <row r="1384">
      <c r="A1384" t="inlineStr">
        <is>
          <t xml:space="preserve">home occupant </t>
        </is>
      </c>
      <c r="B1384">
        <f>VLOOKUP(1539,Requirements!A2:B2967,2,FALSE)</f>
        <v/>
      </c>
    </row>
    <row r="1385">
      <c r="A1385" t="inlineStr">
        <is>
          <t xml:space="preserve">home occupant </t>
        </is>
      </c>
      <c r="B1385">
        <f>VLOOKUP(1544,Requirements!A2:B2967,2,FALSE)</f>
        <v/>
      </c>
    </row>
    <row r="1386">
      <c r="A1386" t="inlineStr">
        <is>
          <t xml:space="preserve">home occupant </t>
        </is>
      </c>
      <c r="B1386">
        <f>VLOOKUP(1545,Requirements!A2:B2967,2,FALSE)</f>
        <v/>
      </c>
    </row>
    <row r="1387">
      <c r="A1387" t="inlineStr">
        <is>
          <t xml:space="preserve">home occupant </t>
        </is>
      </c>
      <c r="B1387">
        <f>VLOOKUP(1546,Requirements!A2:B2967,2,FALSE)</f>
        <v/>
      </c>
    </row>
    <row r="1388">
      <c r="A1388" t="inlineStr">
        <is>
          <t xml:space="preserve">home occupant </t>
        </is>
      </c>
      <c r="B1388">
        <f>VLOOKUP(1547,Requirements!A2:B2967,2,FALSE)</f>
        <v/>
      </c>
    </row>
    <row r="1389">
      <c r="A1389" t="inlineStr">
        <is>
          <t xml:space="preserve">home occupant </t>
        </is>
      </c>
      <c r="B1389">
        <f>VLOOKUP(1549,Requirements!A2:B2967,2,FALSE)</f>
        <v/>
      </c>
    </row>
    <row r="1390">
      <c r="A1390" t="inlineStr">
        <is>
          <t xml:space="preserve">home occupant </t>
        </is>
      </c>
      <c r="B1390">
        <f>VLOOKUP(1551,Requirements!A2:B2967,2,FALSE)</f>
        <v/>
      </c>
    </row>
    <row r="1391">
      <c r="A1391" t="inlineStr">
        <is>
          <t xml:space="preserve">home occupant </t>
        </is>
      </c>
      <c r="B1391">
        <f>VLOOKUP(1554,Requirements!A2:B2967,2,FALSE)</f>
        <v/>
      </c>
    </row>
    <row r="1392">
      <c r="A1392" t="inlineStr">
        <is>
          <t xml:space="preserve">home occupant </t>
        </is>
      </c>
      <c r="B1392">
        <f>VLOOKUP(1555,Requirements!A2:B2967,2,FALSE)</f>
        <v/>
      </c>
    </row>
    <row r="1393">
      <c r="A1393" t="inlineStr">
        <is>
          <t xml:space="preserve">home occupant </t>
        </is>
      </c>
      <c r="B1393">
        <f>VLOOKUP(1556,Requirements!A2:B2967,2,FALSE)</f>
        <v/>
      </c>
    </row>
    <row r="1394">
      <c r="A1394" t="inlineStr">
        <is>
          <t xml:space="preserve">home occupant </t>
        </is>
      </c>
      <c r="B1394">
        <f>VLOOKUP(1560,Requirements!A2:B2967,2,FALSE)</f>
        <v/>
      </c>
    </row>
    <row r="1395">
      <c r="A1395" t="inlineStr">
        <is>
          <t xml:space="preserve">home occupant </t>
        </is>
      </c>
      <c r="B1395">
        <f>VLOOKUP(1562,Requirements!A2:B2967,2,FALSE)</f>
        <v/>
      </c>
    </row>
    <row r="1396">
      <c r="A1396" t="inlineStr">
        <is>
          <t xml:space="preserve">home occupant </t>
        </is>
      </c>
      <c r="B1396">
        <f>VLOOKUP(1566,Requirements!A2:B2967,2,FALSE)</f>
        <v/>
      </c>
    </row>
    <row r="1397">
      <c r="A1397" t="inlineStr">
        <is>
          <t xml:space="preserve">home occupant </t>
        </is>
      </c>
      <c r="B1397">
        <f>VLOOKUP(1567,Requirements!A2:B2967,2,FALSE)</f>
        <v/>
      </c>
    </row>
    <row r="1398">
      <c r="A1398" t="inlineStr">
        <is>
          <t xml:space="preserve">home occupant </t>
        </is>
      </c>
      <c r="B1398">
        <f>VLOOKUP(1574,Requirements!A2:B2967,2,FALSE)</f>
        <v/>
      </c>
    </row>
    <row r="1399">
      <c r="A1399" t="inlineStr">
        <is>
          <t xml:space="preserve">home occupant </t>
        </is>
      </c>
      <c r="B1399">
        <f>VLOOKUP(1577,Requirements!A2:B2967,2,FALSE)</f>
        <v/>
      </c>
    </row>
    <row r="1400">
      <c r="A1400" t="inlineStr">
        <is>
          <t xml:space="preserve">home occupant </t>
        </is>
      </c>
      <c r="B1400">
        <f>VLOOKUP(1580,Requirements!A2:B2967,2,FALSE)</f>
        <v/>
      </c>
    </row>
    <row r="1401">
      <c r="A1401" t="inlineStr">
        <is>
          <t xml:space="preserve">home occupant </t>
        </is>
      </c>
      <c r="B1401">
        <f>VLOOKUP(1582,Requirements!A2:B2967,2,FALSE)</f>
        <v/>
      </c>
    </row>
    <row r="1402">
      <c r="A1402" t="inlineStr">
        <is>
          <t xml:space="preserve">home occupant </t>
        </is>
      </c>
      <c r="B1402">
        <f>VLOOKUP(1587,Requirements!A2:B2967,2,FALSE)</f>
        <v/>
      </c>
    </row>
    <row r="1403">
      <c r="A1403" t="inlineStr">
        <is>
          <t xml:space="preserve">home occupant </t>
        </is>
      </c>
      <c r="B1403">
        <f>VLOOKUP(1588,Requirements!A2:B2967,2,FALSE)</f>
        <v/>
      </c>
    </row>
    <row r="1404">
      <c r="A1404" t="inlineStr">
        <is>
          <t xml:space="preserve">home occupant </t>
        </is>
      </c>
      <c r="B1404">
        <f>VLOOKUP(1589,Requirements!A2:B2967,2,FALSE)</f>
        <v/>
      </c>
    </row>
    <row r="1405">
      <c r="A1405" t="inlineStr">
        <is>
          <t xml:space="preserve">home occupant </t>
        </is>
      </c>
      <c r="B1405">
        <f>VLOOKUP(1593,Requirements!A2:B2967,2,FALSE)</f>
        <v/>
      </c>
    </row>
    <row r="1406">
      <c r="A1406" t="inlineStr">
        <is>
          <t xml:space="preserve">home occupant </t>
        </is>
      </c>
      <c r="B1406">
        <f>VLOOKUP(1597,Requirements!A2:B2967,2,FALSE)</f>
        <v/>
      </c>
    </row>
    <row r="1407">
      <c r="A1407" t="inlineStr">
        <is>
          <t xml:space="preserve">home occupant </t>
        </is>
      </c>
      <c r="B1407">
        <f>VLOOKUP(1600,Requirements!A2:B2967,2,FALSE)</f>
        <v/>
      </c>
    </row>
    <row r="1408">
      <c r="A1408" t="inlineStr">
        <is>
          <t xml:space="preserve">home occupant </t>
        </is>
      </c>
      <c r="B1408">
        <f>VLOOKUP(1602,Requirements!A2:B2967,2,FALSE)</f>
        <v/>
      </c>
    </row>
    <row r="1409">
      <c r="A1409" t="inlineStr">
        <is>
          <t xml:space="preserve">home occupant </t>
        </is>
      </c>
      <c r="B1409">
        <f>VLOOKUP(1603,Requirements!A2:B2967,2,FALSE)</f>
        <v/>
      </c>
    </row>
    <row r="1410">
      <c r="A1410" t="inlineStr">
        <is>
          <t xml:space="preserve">home occupant </t>
        </is>
      </c>
      <c r="B1410">
        <f>VLOOKUP(1604,Requirements!A2:B2967,2,FALSE)</f>
        <v/>
      </c>
    </row>
    <row r="1411">
      <c r="A1411" t="inlineStr">
        <is>
          <t xml:space="preserve">home occupant </t>
        </is>
      </c>
      <c r="B1411">
        <f>VLOOKUP(1607,Requirements!A2:B2967,2,FALSE)</f>
        <v/>
      </c>
    </row>
    <row r="1412">
      <c r="A1412" t="inlineStr">
        <is>
          <t xml:space="preserve">home occupant </t>
        </is>
      </c>
      <c r="B1412">
        <f>VLOOKUP(1609,Requirements!A2:B2967,2,FALSE)</f>
        <v/>
      </c>
    </row>
    <row r="1413">
      <c r="A1413" t="inlineStr">
        <is>
          <t xml:space="preserve">home occupant </t>
        </is>
      </c>
      <c r="B1413">
        <f>VLOOKUP(1613,Requirements!A2:B2967,2,FALSE)</f>
        <v/>
      </c>
    </row>
    <row r="1414">
      <c r="A1414" t="inlineStr">
        <is>
          <t xml:space="preserve">home occupant </t>
        </is>
      </c>
      <c r="B1414">
        <f>VLOOKUP(1614,Requirements!A2:B2967,2,FALSE)</f>
        <v/>
      </c>
    </row>
    <row r="1415">
      <c r="A1415" t="inlineStr">
        <is>
          <t xml:space="preserve">home occupant </t>
        </is>
      </c>
      <c r="B1415">
        <f>VLOOKUP(1618,Requirements!A2:B2967,2,FALSE)</f>
        <v/>
      </c>
    </row>
    <row r="1416">
      <c r="A1416" t="inlineStr">
        <is>
          <t xml:space="preserve">home occupant </t>
        </is>
      </c>
      <c r="B1416">
        <f>VLOOKUP(1619,Requirements!A2:B2967,2,FALSE)</f>
        <v/>
      </c>
    </row>
    <row r="1417">
      <c r="A1417" t="inlineStr">
        <is>
          <t xml:space="preserve">home occupant </t>
        </is>
      </c>
      <c r="B1417">
        <f>VLOOKUP(1620,Requirements!A2:B2967,2,FALSE)</f>
        <v/>
      </c>
    </row>
    <row r="1418">
      <c r="A1418" t="inlineStr">
        <is>
          <t xml:space="preserve">home occupant </t>
        </is>
      </c>
      <c r="B1418">
        <f>VLOOKUP(1621,Requirements!A2:B2967,2,FALSE)</f>
        <v/>
      </c>
    </row>
    <row r="1419">
      <c r="A1419" t="inlineStr">
        <is>
          <t xml:space="preserve">home occupant </t>
        </is>
      </c>
      <c r="B1419">
        <f>VLOOKUP(1623,Requirements!A2:B2967,2,FALSE)</f>
        <v/>
      </c>
    </row>
    <row r="1420">
      <c r="A1420" t="inlineStr">
        <is>
          <t xml:space="preserve">home occupant </t>
        </is>
      </c>
      <c r="B1420">
        <f>VLOOKUP(1625,Requirements!A2:B2967,2,FALSE)</f>
        <v/>
      </c>
    </row>
    <row r="1421">
      <c r="A1421" t="inlineStr">
        <is>
          <t xml:space="preserve">home occupant </t>
        </is>
      </c>
      <c r="B1421">
        <f>VLOOKUP(1629,Requirements!A2:B2967,2,FALSE)</f>
        <v/>
      </c>
    </row>
    <row r="1422">
      <c r="A1422" t="inlineStr">
        <is>
          <t xml:space="preserve">home occupant </t>
        </is>
      </c>
      <c r="B1422">
        <f>VLOOKUP(1630,Requirements!A2:B2967,2,FALSE)</f>
        <v/>
      </c>
    </row>
    <row r="1423">
      <c r="A1423" t="inlineStr">
        <is>
          <t xml:space="preserve">home occupant </t>
        </is>
      </c>
      <c r="B1423">
        <f>VLOOKUP(1632,Requirements!A2:B2967,2,FALSE)</f>
        <v/>
      </c>
    </row>
    <row r="1424">
      <c r="A1424" t="inlineStr">
        <is>
          <t xml:space="preserve">home occupant </t>
        </is>
      </c>
      <c r="B1424">
        <f>VLOOKUP(1635,Requirements!A2:B2967,2,FALSE)</f>
        <v/>
      </c>
    </row>
    <row r="1425">
      <c r="A1425" t="inlineStr">
        <is>
          <t xml:space="preserve">home occupant </t>
        </is>
      </c>
      <c r="B1425">
        <f>VLOOKUP(1641,Requirements!A2:B2967,2,FALSE)</f>
        <v/>
      </c>
    </row>
    <row r="1426">
      <c r="A1426" t="inlineStr">
        <is>
          <t xml:space="preserve">home occupant </t>
        </is>
      </c>
      <c r="B1426">
        <f>VLOOKUP(1645,Requirements!A2:B2967,2,FALSE)</f>
        <v/>
      </c>
    </row>
    <row r="1427">
      <c r="A1427" t="inlineStr">
        <is>
          <t xml:space="preserve">home occupant </t>
        </is>
      </c>
      <c r="B1427">
        <f>VLOOKUP(1648,Requirements!A2:B2967,2,FALSE)</f>
        <v/>
      </c>
    </row>
    <row r="1428">
      <c r="A1428" t="inlineStr">
        <is>
          <t xml:space="preserve">home occupant </t>
        </is>
      </c>
      <c r="B1428">
        <f>VLOOKUP(1649,Requirements!A2:B2967,2,FALSE)</f>
        <v/>
      </c>
    </row>
    <row r="1429">
      <c r="A1429" t="inlineStr">
        <is>
          <t xml:space="preserve">home occupant </t>
        </is>
      </c>
      <c r="B1429">
        <f>VLOOKUP(1653,Requirements!A2:B2967,2,FALSE)</f>
        <v/>
      </c>
    </row>
    <row r="1430">
      <c r="A1430" t="inlineStr">
        <is>
          <t xml:space="preserve">home occupant </t>
        </is>
      </c>
      <c r="B1430">
        <f>VLOOKUP(1654,Requirements!A2:B2967,2,FALSE)</f>
        <v/>
      </c>
    </row>
    <row r="1431">
      <c r="A1431" t="inlineStr">
        <is>
          <t xml:space="preserve">home occupant </t>
        </is>
      </c>
      <c r="B1431">
        <f>VLOOKUP(1656,Requirements!A2:B2967,2,FALSE)</f>
        <v/>
      </c>
    </row>
    <row r="1432">
      <c r="A1432" t="inlineStr">
        <is>
          <t xml:space="preserve">home occupant </t>
        </is>
      </c>
      <c r="B1432">
        <f>VLOOKUP(1657,Requirements!A2:B2967,2,FALSE)</f>
        <v/>
      </c>
    </row>
    <row r="1433">
      <c r="A1433" t="inlineStr">
        <is>
          <t xml:space="preserve">home occupant </t>
        </is>
      </c>
      <c r="B1433">
        <f>VLOOKUP(1660,Requirements!A2:B2967,2,FALSE)</f>
        <v/>
      </c>
    </row>
    <row r="1434">
      <c r="A1434" t="inlineStr">
        <is>
          <t xml:space="preserve">home occupant </t>
        </is>
      </c>
      <c r="B1434">
        <f>VLOOKUP(1661,Requirements!A2:B2967,2,FALSE)</f>
        <v/>
      </c>
    </row>
    <row r="1435">
      <c r="A1435" t="inlineStr">
        <is>
          <t xml:space="preserve">home occupant </t>
        </is>
      </c>
      <c r="B1435">
        <f>VLOOKUP(1662,Requirements!A2:B2967,2,FALSE)</f>
        <v/>
      </c>
    </row>
    <row r="1436">
      <c r="A1436" t="inlineStr">
        <is>
          <t xml:space="preserve">home occupant </t>
        </is>
      </c>
      <c r="B1436">
        <f>VLOOKUP(1663,Requirements!A2:B2967,2,FALSE)</f>
        <v/>
      </c>
    </row>
    <row r="1437">
      <c r="A1437" t="inlineStr">
        <is>
          <t xml:space="preserve">home occupant </t>
        </is>
      </c>
      <c r="B1437">
        <f>VLOOKUP(1665,Requirements!A2:B2967,2,FALSE)</f>
        <v/>
      </c>
    </row>
    <row r="1438">
      <c r="A1438" t="inlineStr">
        <is>
          <t xml:space="preserve">home occupant </t>
        </is>
      </c>
      <c r="B1438">
        <f>VLOOKUP(1666,Requirements!A2:B2967,2,FALSE)</f>
        <v/>
      </c>
    </row>
    <row r="1439">
      <c r="A1439" t="inlineStr">
        <is>
          <t xml:space="preserve">home occupant </t>
        </is>
      </c>
      <c r="B1439">
        <f>VLOOKUP(1667,Requirements!A2:B2967,2,FALSE)</f>
        <v/>
      </c>
    </row>
    <row r="1440">
      <c r="A1440" t="inlineStr">
        <is>
          <t xml:space="preserve">home occupant </t>
        </is>
      </c>
      <c r="B1440">
        <f>VLOOKUP(1668,Requirements!A2:B2967,2,FALSE)</f>
        <v/>
      </c>
    </row>
    <row r="1441">
      <c r="A1441" t="inlineStr">
        <is>
          <t xml:space="preserve">home occupant </t>
        </is>
      </c>
      <c r="B1441">
        <f>VLOOKUP(1669,Requirements!A2:B2967,2,FALSE)</f>
        <v/>
      </c>
    </row>
    <row r="1442">
      <c r="A1442" t="inlineStr">
        <is>
          <t xml:space="preserve">home occupant </t>
        </is>
      </c>
      <c r="B1442">
        <f>VLOOKUP(1673,Requirements!A2:B2967,2,FALSE)</f>
        <v/>
      </c>
    </row>
    <row r="1443">
      <c r="A1443" t="inlineStr">
        <is>
          <t xml:space="preserve">home occupant </t>
        </is>
      </c>
      <c r="B1443">
        <f>VLOOKUP(1675,Requirements!A2:B2967,2,FALSE)</f>
        <v/>
      </c>
    </row>
    <row r="1444">
      <c r="A1444" t="inlineStr">
        <is>
          <t xml:space="preserve">home occupant </t>
        </is>
      </c>
      <c r="B1444">
        <f>VLOOKUP(1678,Requirements!A2:B2967,2,FALSE)</f>
        <v/>
      </c>
    </row>
    <row r="1445">
      <c r="A1445" t="inlineStr">
        <is>
          <t xml:space="preserve">home occupant </t>
        </is>
      </c>
      <c r="B1445">
        <f>VLOOKUP(1679,Requirements!A2:B2967,2,FALSE)</f>
        <v/>
      </c>
    </row>
    <row r="1446">
      <c r="A1446" t="inlineStr">
        <is>
          <t xml:space="preserve">home occupant </t>
        </is>
      </c>
      <c r="B1446">
        <f>VLOOKUP(1681,Requirements!A2:B2967,2,FALSE)</f>
        <v/>
      </c>
    </row>
    <row r="1447">
      <c r="A1447" t="inlineStr">
        <is>
          <t xml:space="preserve">home occupant </t>
        </is>
      </c>
      <c r="B1447">
        <f>VLOOKUP(1683,Requirements!A2:B2967,2,FALSE)</f>
        <v/>
      </c>
    </row>
    <row r="1448">
      <c r="A1448" t="inlineStr">
        <is>
          <t xml:space="preserve">home occupant </t>
        </is>
      </c>
      <c r="B1448">
        <f>VLOOKUP(1686,Requirements!A2:B2967,2,FALSE)</f>
        <v/>
      </c>
    </row>
    <row r="1449">
      <c r="A1449" t="inlineStr">
        <is>
          <t xml:space="preserve">home occupant </t>
        </is>
      </c>
      <c r="B1449">
        <f>VLOOKUP(1689,Requirements!A2:B2967,2,FALSE)</f>
        <v/>
      </c>
    </row>
    <row r="1450">
      <c r="A1450" t="inlineStr">
        <is>
          <t xml:space="preserve">home occupant </t>
        </is>
      </c>
      <c r="B1450">
        <f>VLOOKUP(1690,Requirements!A2:B2967,2,FALSE)</f>
        <v/>
      </c>
    </row>
    <row r="1451">
      <c r="A1451" t="inlineStr">
        <is>
          <t xml:space="preserve">home occupant </t>
        </is>
      </c>
      <c r="B1451">
        <f>VLOOKUP(1700,Requirements!A2:B2967,2,FALSE)</f>
        <v/>
      </c>
    </row>
    <row r="1452">
      <c r="A1452" t="inlineStr">
        <is>
          <t xml:space="preserve">home occupant </t>
        </is>
      </c>
      <c r="B1452">
        <f>VLOOKUP(1702,Requirements!A2:B2967,2,FALSE)</f>
        <v/>
      </c>
    </row>
    <row r="1453">
      <c r="A1453" t="inlineStr">
        <is>
          <t xml:space="preserve">home occupant </t>
        </is>
      </c>
      <c r="B1453">
        <f>VLOOKUP(1705,Requirements!A2:B2967,2,FALSE)</f>
        <v/>
      </c>
    </row>
    <row r="1454">
      <c r="A1454" t="inlineStr">
        <is>
          <t xml:space="preserve">home occupant </t>
        </is>
      </c>
      <c r="B1454">
        <f>VLOOKUP(1706,Requirements!A2:B2967,2,FALSE)</f>
        <v/>
      </c>
    </row>
    <row r="1455">
      <c r="A1455" t="inlineStr">
        <is>
          <t xml:space="preserve">home occupant </t>
        </is>
      </c>
      <c r="B1455">
        <f>VLOOKUP(1708,Requirements!A2:B2967,2,FALSE)</f>
        <v/>
      </c>
    </row>
    <row r="1456">
      <c r="A1456" t="inlineStr">
        <is>
          <t xml:space="preserve">home occupant </t>
        </is>
      </c>
      <c r="B1456">
        <f>VLOOKUP(1709,Requirements!A2:B2967,2,FALSE)</f>
        <v/>
      </c>
    </row>
    <row r="1457">
      <c r="A1457" t="inlineStr">
        <is>
          <t xml:space="preserve">home occupant </t>
        </is>
      </c>
      <c r="B1457">
        <f>VLOOKUP(1712,Requirements!A2:B2967,2,FALSE)</f>
        <v/>
      </c>
    </row>
    <row r="1458">
      <c r="A1458" t="inlineStr">
        <is>
          <t xml:space="preserve">home occupant </t>
        </is>
      </c>
      <c r="B1458">
        <f>VLOOKUP(1713,Requirements!A2:B2967,2,FALSE)</f>
        <v/>
      </c>
    </row>
    <row r="1459">
      <c r="A1459" t="inlineStr">
        <is>
          <t xml:space="preserve">home occupant </t>
        </is>
      </c>
      <c r="B1459">
        <f>VLOOKUP(1715,Requirements!A2:B2967,2,FALSE)</f>
        <v/>
      </c>
    </row>
    <row r="1460">
      <c r="A1460" t="inlineStr">
        <is>
          <t xml:space="preserve">home occupant </t>
        </is>
      </c>
      <c r="B1460">
        <f>VLOOKUP(1717,Requirements!A2:B2967,2,FALSE)</f>
        <v/>
      </c>
    </row>
    <row r="1461">
      <c r="A1461" t="inlineStr">
        <is>
          <t xml:space="preserve">home occupant </t>
        </is>
      </c>
      <c r="B1461">
        <f>VLOOKUP(1718,Requirements!A2:B2967,2,FALSE)</f>
        <v/>
      </c>
    </row>
    <row r="1462">
      <c r="A1462" t="inlineStr">
        <is>
          <t xml:space="preserve">home occupant </t>
        </is>
      </c>
      <c r="B1462">
        <f>VLOOKUP(1719,Requirements!A2:B2967,2,FALSE)</f>
        <v/>
      </c>
    </row>
    <row r="1463">
      <c r="A1463" t="inlineStr">
        <is>
          <t xml:space="preserve">home occupant </t>
        </is>
      </c>
      <c r="B1463">
        <f>VLOOKUP(1721,Requirements!A2:B2967,2,FALSE)</f>
        <v/>
      </c>
    </row>
    <row r="1464">
      <c r="A1464" t="inlineStr">
        <is>
          <t xml:space="preserve">home occupant </t>
        </is>
      </c>
      <c r="B1464">
        <f>VLOOKUP(1724,Requirements!A2:B2967,2,FALSE)</f>
        <v/>
      </c>
    </row>
    <row r="1465">
      <c r="A1465" t="inlineStr">
        <is>
          <t xml:space="preserve">home occupant </t>
        </is>
      </c>
      <c r="B1465">
        <f>VLOOKUP(1738,Requirements!A2:B2967,2,FALSE)</f>
        <v/>
      </c>
    </row>
    <row r="1466">
      <c r="A1466" t="inlineStr">
        <is>
          <t xml:space="preserve">home occupant </t>
        </is>
      </c>
      <c r="B1466">
        <f>VLOOKUP(1740,Requirements!A2:B2967,2,FALSE)</f>
        <v/>
      </c>
    </row>
    <row r="1467">
      <c r="A1467" t="inlineStr">
        <is>
          <t xml:space="preserve">home occupant </t>
        </is>
      </c>
      <c r="B1467">
        <f>VLOOKUP(1741,Requirements!A2:B2967,2,FALSE)</f>
        <v/>
      </c>
    </row>
    <row r="1468">
      <c r="A1468" t="inlineStr">
        <is>
          <t xml:space="preserve">home occupant </t>
        </is>
      </c>
      <c r="B1468">
        <f>VLOOKUP(1743,Requirements!A2:B2967,2,FALSE)</f>
        <v/>
      </c>
    </row>
    <row r="1469">
      <c r="A1469" t="inlineStr">
        <is>
          <t xml:space="preserve">home occupant </t>
        </is>
      </c>
      <c r="B1469">
        <f>VLOOKUP(1744,Requirements!A2:B2967,2,FALSE)</f>
        <v/>
      </c>
    </row>
    <row r="1470">
      <c r="A1470" t="inlineStr">
        <is>
          <t xml:space="preserve">home occupant </t>
        </is>
      </c>
      <c r="B1470">
        <f>VLOOKUP(1745,Requirements!A2:B2967,2,FALSE)</f>
        <v/>
      </c>
    </row>
    <row r="1471">
      <c r="A1471" t="inlineStr">
        <is>
          <t xml:space="preserve">home occupant </t>
        </is>
      </c>
      <c r="B1471">
        <f>VLOOKUP(1746,Requirements!A2:B2967,2,FALSE)</f>
        <v/>
      </c>
    </row>
    <row r="1472">
      <c r="A1472" t="inlineStr">
        <is>
          <t xml:space="preserve">home occupant </t>
        </is>
      </c>
      <c r="B1472">
        <f>VLOOKUP(1747,Requirements!A2:B2967,2,FALSE)</f>
        <v/>
      </c>
    </row>
    <row r="1473">
      <c r="A1473" t="inlineStr">
        <is>
          <t xml:space="preserve">home occupant </t>
        </is>
      </c>
      <c r="B1473">
        <f>VLOOKUP(1750,Requirements!A2:B2967,2,FALSE)</f>
        <v/>
      </c>
    </row>
    <row r="1474">
      <c r="A1474" t="inlineStr">
        <is>
          <t xml:space="preserve">home occupant </t>
        </is>
      </c>
      <c r="B1474">
        <f>VLOOKUP(1751,Requirements!A2:B2967,2,FALSE)</f>
        <v/>
      </c>
    </row>
    <row r="1475">
      <c r="A1475" t="inlineStr">
        <is>
          <t xml:space="preserve">home occupant </t>
        </is>
      </c>
      <c r="B1475">
        <f>VLOOKUP(1752,Requirements!A2:B2967,2,FALSE)</f>
        <v/>
      </c>
    </row>
    <row r="1476">
      <c r="A1476" t="inlineStr">
        <is>
          <t xml:space="preserve">home occupant </t>
        </is>
      </c>
      <c r="B1476">
        <f>VLOOKUP(1755,Requirements!A2:B2967,2,FALSE)</f>
        <v/>
      </c>
    </row>
    <row r="1477">
      <c r="A1477" t="inlineStr">
        <is>
          <t xml:space="preserve">home occupant </t>
        </is>
      </c>
      <c r="B1477">
        <f>VLOOKUP(1756,Requirements!A2:B2967,2,FALSE)</f>
        <v/>
      </c>
    </row>
    <row r="1478">
      <c r="A1478" t="inlineStr">
        <is>
          <t xml:space="preserve">home occupant </t>
        </is>
      </c>
      <c r="B1478">
        <f>VLOOKUP(1759,Requirements!A2:B2967,2,FALSE)</f>
        <v/>
      </c>
    </row>
    <row r="1479">
      <c r="A1479" t="inlineStr">
        <is>
          <t xml:space="preserve">home occupant </t>
        </is>
      </c>
      <c r="B1479">
        <f>VLOOKUP(1760,Requirements!A2:B2967,2,FALSE)</f>
        <v/>
      </c>
    </row>
    <row r="1480">
      <c r="A1480" t="inlineStr">
        <is>
          <t xml:space="preserve">home occupant </t>
        </is>
      </c>
      <c r="B1480">
        <f>VLOOKUP(1762,Requirements!A2:B2967,2,FALSE)</f>
        <v/>
      </c>
    </row>
    <row r="1481">
      <c r="A1481" t="inlineStr">
        <is>
          <t xml:space="preserve">home occupant </t>
        </is>
      </c>
      <c r="B1481">
        <f>VLOOKUP(1764,Requirements!A2:B2967,2,FALSE)</f>
        <v/>
      </c>
    </row>
    <row r="1482">
      <c r="A1482" t="inlineStr">
        <is>
          <t xml:space="preserve">home occupant </t>
        </is>
      </c>
      <c r="B1482">
        <f>VLOOKUP(1766,Requirements!A2:B2967,2,FALSE)</f>
        <v/>
      </c>
    </row>
    <row r="1483">
      <c r="A1483" t="inlineStr">
        <is>
          <t xml:space="preserve">home occupant </t>
        </is>
      </c>
      <c r="B1483">
        <f>VLOOKUP(1767,Requirements!A2:B2967,2,FALSE)</f>
        <v/>
      </c>
    </row>
    <row r="1484">
      <c r="A1484" t="inlineStr">
        <is>
          <t xml:space="preserve">home occupant </t>
        </is>
      </c>
      <c r="B1484">
        <f>VLOOKUP(1768,Requirements!A2:B2967,2,FALSE)</f>
        <v/>
      </c>
    </row>
    <row r="1485">
      <c r="A1485" t="inlineStr">
        <is>
          <t xml:space="preserve">home occupant </t>
        </is>
      </c>
      <c r="B1485">
        <f>VLOOKUP(1769,Requirements!A2:B2967,2,FALSE)</f>
        <v/>
      </c>
    </row>
    <row r="1486">
      <c r="A1486" t="inlineStr">
        <is>
          <t xml:space="preserve">home occupant </t>
        </is>
      </c>
      <c r="B1486">
        <f>VLOOKUP(1770,Requirements!A2:B2967,2,FALSE)</f>
        <v/>
      </c>
    </row>
    <row r="1487">
      <c r="A1487" t="inlineStr">
        <is>
          <t xml:space="preserve">home occupant </t>
        </is>
      </c>
      <c r="B1487">
        <f>VLOOKUP(1772,Requirements!A2:B2967,2,FALSE)</f>
        <v/>
      </c>
    </row>
    <row r="1488">
      <c r="A1488" t="inlineStr">
        <is>
          <t xml:space="preserve">home occupant </t>
        </is>
      </c>
      <c r="B1488">
        <f>VLOOKUP(1773,Requirements!A2:B2967,2,FALSE)</f>
        <v/>
      </c>
    </row>
    <row r="1489">
      <c r="A1489" t="inlineStr">
        <is>
          <t xml:space="preserve">home occupant </t>
        </is>
      </c>
      <c r="B1489">
        <f>VLOOKUP(1777,Requirements!A2:B2967,2,FALSE)</f>
        <v/>
      </c>
    </row>
    <row r="1490">
      <c r="A1490" t="inlineStr">
        <is>
          <t xml:space="preserve">home occupant </t>
        </is>
      </c>
      <c r="B1490">
        <f>VLOOKUP(1784,Requirements!A2:B2967,2,FALSE)</f>
        <v/>
      </c>
    </row>
    <row r="1491">
      <c r="A1491" t="inlineStr">
        <is>
          <t xml:space="preserve">home occupant </t>
        </is>
      </c>
      <c r="B1491">
        <f>VLOOKUP(1791,Requirements!A2:B2967,2,FALSE)</f>
        <v/>
      </c>
    </row>
    <row r="1492">
      <c r="A1492" t="inlineStr">
        <is>
          <t xml:space="preserve">home occupant </t>
        </is>
      </c>
      <c r="B1492">
        <f>VLOOKUP(1816,Requirements!A2:B2967,2,FALSE)</f>
        <v/>
      </c>
    </row>
    <row r="1493">
      <c r="A1493" t="inlineStr">
        <is>
          <t xml:space="preserve">home occupant </t>
        </is>
      </c>
      <c r="B1493">
        <f>VLOOKUP(1818,Requirements!A2:B2967,2,FALSE)</f>
        <v/>
      </c>
    </row>
    <row r="1494">
      <c r="A1494" t="inlineStr">
        <is>
          <t xml:space="preserve">home occupant </t>
        </is>
      </c>
      <c r="B1494">
        <f>VLOOKUP(1820,Requirements!A2:B2967,2,FALSE)</f>
        <v/>
      </c>
    </row>
    <row r="1495">
      <c r="A1495" t="inlineStr">
        <is>
          <t xml:space="preserve">home occupant </t>
        </is>
      </c>
      <c r="B1495">
        <f>VLOOKUP(1823,Requirements!A2:B2967,2,FALSE)</f>
        <v/>
      </c>
    </row>
    <row r="1496">
      <c r="A1496" t="inlineStr">
        <is>
          <t xml:space="preserve">home occupant </t>
        </is>
      </c>
      <c r="B1496">
        <f>VLOOKUP(1825,Requirements!A2:B2967,2,FALSE)</f>
        <v/>
      </c>
    </row>
    <row r="1497">
      <c r="A1497" t="inlineStr">
        <is>
          <t xml:space="preserve">home occupant </t>
        </is>
      </c>
      <c r="B1497">
        <f>VLOOKUP(1826,Requirements!A2:B2967,2,FALSE)</f>
        <v/>
      </c>
    </row>
    <row r="1498">
      <c r="A1498" t="inlineStr">
        <is>
          <t xml:space="preserve">home occupant </t>
        </is>
      </c>
      <c r="B1498">
        <f>VLOOKUP(1828,Requirements!A2:B2967,2,FALSE)</f>
        <v/>
      </c>
    </row>
    <row r="1499">
      <c r="A1499" t="inlineStr">
        <is>
          <t xml:space="preserve">home occupant </t>
        </is>
      </c>
      <c r="B1499">
        <f>VLOOKUP(1831,Requirements!A2:B2967,2,FALSE)</f>
        <v/>
      </c>
    </row>
    <row r="1500">
      <c r="A1500" t="inlineStr">
        <is>
          <t xml:space="preserve">home occupant </t>
        </is>
      </c>
      <c r="B1500">
        <f>VLOOKUP(1835,Requirements!A2:B2967,2,FALSE)</f>
        <v/>
      </c>
    </row>
    <row r="1501">
      <c r="A1501" t="inlineStr">
        <is>
          <t xml:space="preserve">home occupant </t>
        </is>
      </c>
      <c r="B1501">
        <f>VLOOKUP(1836,Requirements!A2:B2967,2,FALSE)</f>
        <v/>
      </c>
    </row>
    <row r="1502">
      <c r="A1502" t="inlineStr">
        <is>
          <t xml:space="preserve">home occupant </t>
        </is>
      </c>
      <c r="B1502">
        <f>VLOOKUP(1839,Requirements!A2:B2967,2,FALSE)</f>
        <v/>
      </c>
    </row>
    <row r="1503">
      <c r="A1503" t="inlineStr">
        <is>
          <t xml:space="preserve">home occupant </t>
        </is>
      </c>
      <c r="B1503">
        <f>VLOOKUP(1844,Requirements!A2:B2967,2,FALSE)</f>
        <v/>
      </c>
    </row>
    <row r="1504">
      <c r="A1504" t="inlineStr">
        <is>
          <t xml:space="preserve">home occupant </t>
        </is>
      </c>
      <c r="B1504">
        <f>VLOOKUP(1845,Requirements!A2:B2967,2,FALSE)</f>
        <v/>
      </c>
    </row>
    <row r="1505">
      <c r="A1505" t="inlineStr">
        <is>
          <t xml:space="preserve">home occupant </t>
        </is>
      </c>
      <c r="B1505">
        <f>VLOOKUP(1848,Requirements!A2:B2967,2,FALSE)</f>
        <v/>
      </c>
    </row>
    <row r="1506">
      <c r="A1506" t="inlineStr">
        <is>
          <t xml:space="preserve">home occupant </t>
        </is>
      </c>
      <c r="B1506">
        <f>VLOOKUP(1853,Requirements!A2:B2967,2,FALSE)</f>
        <v/>
      </c>
    </row>
    <row r="1507">
      <c r="A1507" t="inlineStr">
        <is>
          <t xml:space="preserve">home occupant </t>
        </is>
      </c>
      <c r="B1507">
        <f>VLOOKUP(1854,Requirements!A2:B2967,2,FALSE)</f>
        <v/>
      </c>
    </row>
    <row r="1508">
      <c r="A1508" t="inlineStr">
        <is>
          <t xml:space="preserve">home occupant </t>
        </is>
      </c>
      <c r="B1508">
        <f>VLOOKUP(1855,Requirements!A2:B2967,2,FALSE)</f>
        <v/>
      </c>
    </row>
    <row r="1509">
      <c r="A1509" t="inlineStr">
        <is>
          <t xml:space="preserve">home occupant </t>
        </is>
      </c>
      <c r="B1509">
        <f>VLOOKUP(1856,Requirements!A2:B2967,2,FALSE)</f>
        <v/>
      </c>
    </row>
    <row r="1510">
      <c r="A1510" t="inlineStr">
        <is>
          <t xml:space="preserve">home occupant </t>
        </is>
      </c>
      <c r="B1510">
        <f>VLOOKUP(1858,Requirements!A2:B2967,2,FALSE)</f>
        <v/>
      </c>
    </row>
    <row r="1511">
      <c r="A1511" t="inlineStr">
        <is>
          <t xml:space="preserve">home occupant </t>
        </is>
      </c>
      <c r="B1511">
        <f>VLOOKUP(1860,Requirements!A2:B2967,2,FALSE)</f>
        <v/>
      </c>
    </row>
    <row r="1512">
      <c r="A1512" t="inlineStr">
        <is>
          <t xml:space="preserve">home occupant </t>
        </is>
      </c>
      <c r="B1512">
        <f>VLOOKUP(1861,Requirements!A2:B2967,2,FALSE)</f>
        <v/>
      </c>
    </row>
    <row r="1513">
      <c r="A1513" t="inlineStr">
        <is>
          <t xml:space="preserve">home occupant </t>
        </is>
      </c>
      <c r="B1513">
        <f>VLOOKUP(1862,Requirements!A2:B2967,2,FALSE)</f>
        <v/>
      </c>
    </row>
    <row r="1514">
      <c r="A1514" t="inlineStr">
        <is>
          <t xml:space="preserve">home occupant </t>
        </is>
      </c>
      <c r="B1514">
        <f>VLOOKUP(1863,Requirements!A2:B2967,2,FALSE)</f>
        <v/>
      </c>
    </row>
    <row r="1515">
      <c r="A1515" t="inlineStr">
        <is>
          <t xml:space="preserve">home occupant </t>
        </is>
      </c>
      <c r="B1515">
        <f>VLOOKUP(1865,Requirements!A2:B2967,2,FALSE)</f>
        <v/>
      </c>
    </row>
    <row r="1516">
      <c r="A1516" t="inlineStr">
        <is>
          <t xml:space="preserve">home occupant </t>
        </is>
      </c>
      <c r="B1516">
        <f>VLOOKUP(1866,Requirements!A2:B2967,2,FALSE)</f>
        <v/>
      </c>
    </row>
    <row r="1517">
      <c r="A1517" t="inlineStr">
        <is>
          <t xml:space="preserve">home occupant </t>
        </is>
      </c>
      <c r="B1517">
        <f>VLOOKUP(1867,Requirements!A2:B2967,2,FALSE)</f>
        <v/>
      </c>
    </row>
    <row r="1518">
      <c r="A1518" t="inlineStr">
        <is>
          <t xml:space="preserve">home occupant </t>
        </is>
      </c>
      <c r="B1518">
        <f>VLOOKUP(1869,Requirements!A2:B2967,2,FALSE)</f>
        <v/>
      </c>
    </row>
    <row r="1519">
      <c r="A1519" t="inlineStr">
        <is>
          <t xml:space="preserve">home occupant </t>
        </is>
      </c>
      <c r="B1519">
        <f>VLOOKUP(1870,Requirements!A2:B2967,2,FALSE)</f>
        <v/>
      </c>
    </row>
    <row r="1520">
      <c r="A1520" t="inlineStr">
        <is>
          <t xml:space="preserve">home occupant </t>
        </is>
      </c>
      <c r="B1520">
        <f>VLOOKUP(1871,Requirements!A2:B2967,2,FALSE)</f>
        <v/>
      </c>
    </row>
    <row r="1521">
      <c r="A1521" t="inlineStr">
        <is>
          <t xml:space="preserve">home occupant </t>
        </is>
      </c>
      <c r="B1521">
        <f>VLOOKUP(1872,Requirements!A2:B2967,2,FALSE)</f>
        <v/>
      </c>
    </row>
    <row r="1522">
      <c r="A1522" t="inlineStr">
        <is>
          <t xml:space="preserve">home occupant </t>
        </is>
      </c>
      <c r="B1522">
        <f>VLOOKUP(1879,Requirements!A2:B2967,2,FALSE)</f>
        <v/>
      </c>
    </row>
    <row r="1523">
      <c r="A1523" t="inlineStr">
        <is>
          <t xml:space="preserve">home occupant </t>
        </is>
      </c>
      <c r="B1523">
        <f>VLOOKUP(1888,Requirements!A2:B2967,2,FALSE)</f>
        <v/>
      </c>
    </row>
    <row r="1524">
      <c r="A1524" t="inlineStr">
        <is>
          <t xml:space="preserve">home occupant </t>
        </is>
      </c>
      <c r="B1524">
        <f>VLOOKUP(1890,Requirements!A2:B2967,2,FALSE)</f>
        <v/>
      </c>
    </row>
    <row r="1525">
      <c r="A1525" t="inlineStr">
        <is>
          <t xml:space="preserve">home occupant </t>
        </is>
      </c>
      <c r="B1525">
        <f>VLOOKUP(1911,Requirements!A2:B2967,2,FALSE)</f>
        <v/>
      </c>
    </row>
    <row r="1526">
      <c r="A1526" t="inlineStr">
        <is>
          <t xml:space="preserve">home occupant </t>
        </is>
      </c>
      <c r="B1526">
        <f>VLOOKUP(1912,Requirements!A2:B2967,2,FALSE)</f>
        <v/>
      </c>
    </row>
    <row r="1527">
      <c r="A1527" t="inlineStr">
        <is>
          <t xml:space="preserve">home occupant </t>
        </is>
      </c>
      <c r="B1527">
        <f>VLOOKUP(1913,Requirements!A2:B2967,2,FALSE)</f>
        <v/>
      </c>
    </row>
    <row r="1528">
      <c r="A1528" t="inlineStr">
        <is>
          <t xml:space="preserve">home occupant </t>
        </is>
      </c>
      <c r="B1528">
        <f>VLOOKUP(1914,Requirements!A2:B2967,2,FALSE)</f>
        <v/>
      </c>
    </row>
    <row r="1529">
      <c r="A1529" t="inlineStr">
        <is>
          <t xml:space="preserve">home occupant </t>
        </is>
      </c>
      <c r="B1529">
        <f>VLOOKUP(1915,Requirements!A2:B2967,2,FALSE)</f>
        <v/>
      </c>
    </row>
    <row r="1530">
      <c r="A1530" t="inlineStr">
        <is>
          <t xml:space="preserve">home occupant </t>
        </is>
      </c>
      <c r="B1530">
        <f>VLOOKUP(1917,Requirements!A2:B2967,2,FALSE)</f>
        <v/>
      </c>
    </row>
    <row r="1531">
      <c r="A1531" t="inlineStr">
        <is>
          <t xml:space="preserve">home occupant </t>
        </is>
      </c>
      <c r="B1531">
        <f>VLOOKUP(1918,Requirements!A2:B2967,2,FALSE)</f>
        <v/>
      </c>
    </row>
    <row r="1532">
      <c r="A1532" t="inlineStr">
        <is>
          <t xml:space="preserve">home occupant </t>
        </is>
      </c>
      <c r="B1532">
        <f>VLOOKUP(1919,Requirements!A2:B2967,2,FALSE)</f>
        <v/>
      </c>
    </row>
    <row r="1533">
      <c r="A1533" t="inlineStr">
        <is>
          <t xml:space="preserve">home occupant </t>
        </is>
      </c>
      <c r="B1533">
        <f>VLOOKUP(1920,Requirements!A2:B2967,2,FALSE)</f>
        <v/>
      </c>
    </row>
    <row r="1534">
      <c r="A1534" t="inlineStr">
        <is>
          <t xml:space="preserve">home occupant </t>
        </is>
      </c>
      <c r="B1534">
        <f>VLOOKUP(1921,Requirements!A2:B2967,2,FALSE)</f>
        <v/>
      </c>
    </row>
    <row r="1535">
      <c r="A1535" t="inlineStr">
        <is>
          <t xml:space="preserve">home occupant </t>
        </is>
      </c>
      <c r="B1535">
        <f>VLOOKUP(1923,Requirements!A2:B2967,2,FALSE)</f>
        <v/>
      </c>
    </row>
    <row r="1536">
      <c r="A1536" t="inlineStr">
        <is>
          <t xml:space="preserve">home occupant </t>
        </is>
      </c>
      <c r="B1536">
        <f>VLOOKUP(1924,Requirements!A2:B2967,2,FALSE)</f>
        <v/>
      </c>
    </row>
    <row r="1537">
      <c r="A1537" t="inlineStr">
        <is>
          <t xml:space="preserve">home occupant </t>
        </is>
      </c>
      <c r="B1537">
        <f>VLOOKUP(1926,Requirements!A2:B2967,2,FALSE)</f>
        <v/>
      </c>
    </row>
    <row r="1538">
      <c r="A1538" t="inlineStr">
        <is>
          <t xml:space="preserve">home occupant </t>
        </is>
      </c>
      <c r="B1538">
        <f>VLOOKUP(1927,Requirements!A2:B2967,2,FALSE)</f>
        <v/>
      </c>
    </row>
    <row r="1539">
      <c r="A1539" t="inlineStr">
        <is>
          <t xml:space="preserve">home occupant </t>
        </is>
      </c>
      <c r="B1539">
        <f>VLOOKUP(1928,Requirements!A2:B2967,2,FALSE)</f>
        <v/>
      </c>
    </row>
    <row r="1540">
      <c r="A1540" t="inlineStr">
        <is>
          <t xml:space="preserve">home occupant </t>
        </is>
      </c>
      <c r="B1540">
        <f>VLOOKUP(1930,Requirements!A2:B2967,2,FALSE)</f>
        <v/>
      </c>
    </row>
    <row r="1541">
      <c r="A1541" t="inlineStr">
        <is>
          <t xml:space="preserve">home occupant </t>
        </is>
      </c>
      <c r="B1541">
        <f>VLOOKUP(1932,Requirements!A2:B2967,2,FALSE)</f>
        <v/>
      </c>
    </row>
    <row r="1542">
      <c r="A1542" t="inlineStr">
        <is>
          <t xml:space="preserve">home occupant </t>
        </is>
      </c>
      <c r="B1542">
        <f>VLOOKUP(1933,Requirements!A2:B2967,2,FALSE)</f>
        <v/>
      </c>
    </row>
    <row r="1543">
      <c r="A1543" t="inlineStr">
        <is>
          <t xml:space="preserve">home occupant </t>
        </is>
      </c>
      <c r="B1543">
        <f>VLOOKUP(1968,Requirements!A2:B2967,2,FALSE)</f>
        <v/>
      </c>
    </row>
    <row r="1544">
      <c r="A1544" t="inlineStr">
        <is>
          <t xml:space="preserve">home occupant </t>
        </is>
      </c>
      <c r="B1544">
        <f>VLOOKUP(1969,Requirements!A2:B2967,2,FALSE)</f>
        <v/>
      </c>
    </row>
    <row r="1545">
      <c r="A1545" t="inlineStr">
        <is>
          <t xml:space="preserve">home occupant </t>
        </is>
      </c>
      <c r="B1545">
        <f>VLOOKUP(1970,Requirements!A2:B2967,2,FALSE)</f>
        <v/>
      </c>
    </row>
    <row r="1546">
      <c r="A1546" t="inlineStr">
        <is>
          <t xml:space="preserve">home occupant </t>
        </is>
      </c>
      <c r="B1546">
        <f>VLOOKUP(1972,Requirements!A2:B2967,2,FALSE)</f>
        <v/>
      </c>
    </row>
    <row r="1547">
      <c r="A1547" t="inlineStr">
        <is>
          <t xml:space="preserve">home occupant </t>
        </is>
      </c>
      <c r="B1547">
        <f>VLOOKUP(1973,Requirements!A2:B2967,2,FALSE)</f>
        <v/>
      </c>
    </row>
    <row r="1548">
      <c r="A1548" t="inlineStr">
        <is>
          <t xml:space="preserve">home occupant </t>
        </is>
      </c>
      <c r="B1548">
        <f>VLOOKUP(1975,Requirements!A2:B2967,2,FALSE)</f>
        <v/>
      </c>
    </row>
    <row r="1549">
      <c r="A1549" t="inlineStr">
        <is>
          <t xml:space="preserve">home occupant </t>
        </is>
      </c>
      <c r="B1549">
        <f>VLOOKUP(1977,Requirements!A2:B2967,2,FALSE)</f>
        <v/>
      </c>
    </row>
    <row r="1550">
      <c r="A1550" t="inlineStr">
        <is>
          <t xml:space="preserve">home occupant </t>
        </is>
      </c>
      <c r="B1550">
        <f>VLOOKUP(1978,Requirements!A2:B2967,2,FALSE)</f>
        <v/>
      </c>
    </row>
    <row r="1551">
      <c r="A1551" t="inlineStr">
        <is>
          <t xml:space="preserve">home occupant </t>
        </is>
      </c>
      <c r="B1551">
        <f>VLOOKUP(1979,Requirements!A2:B2967,2,FALSE)</f>
        <v/>
      </c>
    </row>
    <row r="1552">
      <c r="A1552" t="inlineStr">
        <is>
          <t xml:space="preserve">home occupant </t>
        </is>
      </c>
      <c r="B1552">
        <f>VLOOKUP(1982,Requirements!A2:B2967,2,FALSE)</f>
        <v/>
      </c>
    </row>
    <row r="1553">
      <c r="A1553" t="inlineStr">
        <is>
          <t xml:space="preserve">home occupant </t>
        </is>
      </c>
      <c r="B1553">
        <f>VLOOKUP(1983,Requirements!A2:B2967,2,FALSE)</f>
        <v/>
      </c>
    </row>
    <row r="1554">
      <c r="A1554" t="inlineStr">
        <is>
          <t xml:space="preserve">home occupant </t>
        </is>
      </c>
      <c r="B1554">
        <f>VLOOKUP(1985,Requirements!A2:B2967,2,FALSE)</f>
        <v/>
      </c>
    </row>
    <row r="1555">
      <c r="A1555" t="inlineStr">
        <is>
          <t xml:space="preserve">home occupant </t>
        </is>
      </c>
      <c r="B1555">
        <f>VLOOKUP(1986,Requirements!A2:B2967,2,FALSE)</f>
        <v/>
      </c>
    </row>
    <row r="1556">
      <c r="A1556" t="inlineStr">
        <is>
          <t xml:space="preserve">home occupant </t>
        </is>
      </c>
      <c r="B1556">
        <f>VLOOKUP(1988,Requirements!A2:B2967,2,FALSE)</f>
        <v/>
      </c>
    </row>
    <row r="1557">
      <c r="A1557" t="inlineStr">
        <is>
          <t xml:space="preserve">home occupant </t>
        </is>
      </c>
      <c r="B1557">
        <f>VLOOKUP(1992,Requirements!A2:B2967,2,FALSE)</f>
        <v/>
      </c>
    </row>
    <row r="1558">
      <c r="A1558" t="inlineStr">
        <is>
          <t xml:space="preserve">home occupant </t>
        </is>
      </c>
      <c r="B1558">
        <f>VLOOKUP(1993,Requirements!A2:B2967,2,FALSE)</f>
        <v/>
      </c>
    </row>
    <row r="1559">
      <c r="A1559" t="inlineStr">
        <is>
          <t xml:space="preserve">home occupant </t>
        </is>
      </c>
      <c r="B1559">
        <f>VLOOKUP(1997,Requirements!A2:B2967,2,FALSE)</f>
        <v/>
      </c>
    </row>
    <row r="1560">
      <c r="A1560" t="inlineStr">
        <is>
          <t xml:space="preserve">home occupant </t>
        </is>
      </c>
      <c r="B1560">
        <f>VLOOKUP(2005,Requirements!A2:B2967,2,FALSE)</f>
        <v/>
      </c>
    </row>
    <row r="1561">
      <c r="A1561" t="inlineStr">
        <is>
          <t xml:space="preserve">home occupant </t>
        </is>
      </c>
      <c r="B1561">
        <f>VLOOKUP(2006,Requirements!A2:B2967,2,FALSE)</f>
        <v/>
      </c>
    </row>
    <row r="1562">
      <c r="A1562" t="inlineStr">
        <is>
          <t xml:space="preserve">home occupant </t>
        </is>
      </c>
      <c r="B1562">
        <f>VLOOKUP(2008,Requirements!A2:B2967,2,FALSE)</f>
        <v/>
      </c>
    </row>
    <row r="1563">
      <c r="A1563" t="inlineStr">
        <is>
          <t xml:space="preserve">home occupant </t>
        </is>
      </c>
      <c r="B1563">
        <f>VLOOKUP(2013,Requirements!A2:B2967,2,FALSE)</f>
        <v/>
      </c>
    </row>
    <row r="1564">
      <c r="A1564" t="inlineStr">
        <is>
          <t xml:space="preserve">home occupant </t>
        </is>
      </c>
      <c r="B1564">
        <f>VLOOKUP(2014,Requirements!A2:B2967,2,FALSE)</f>
        <v/>
      </c>
    </row>
    <row r="1565">
      <c r="A1565" t="inlineStr">
        <is>
          <t xml:space="preserve">home occupant </t>
        </is>
      </c>
      <c r="B1565">
        <f>VLOOKUP(2015,Requirements!A2:B2967,2,FALSE)</f>
        <v/>
      </c>
    </row>
    <row r="1566">
      <c r="A1566" t="inlineStr">
        <is>
          <t xml:space="preserve">home occupant </t>
        </is>
      </c>
      <c r="B1566">
        <f>VLOOKUP(2016,Requirements!A2:B2967,2,FALSE)</f>
        <v/>
      </c>
    </row>
    <row r="1567">
      <c r="A1567" t="inlineStr">
        <is>
          <t xml:space="preserve">home occupant </t>
        </is>
      </c>
      <c r="B1567">
        <f>VLOOKUP(2018,Requirements!A2:B2967,2,FALSE)</f>
        <v/>
      </c>
    </row>
    <row r="1568">
      <c r="A1568" t="inlineStr">
        <is>
          <t xml:space="preserve">home occupant </t>
        </is>
      </c>
      <c r="B1568">
        <f>VLOOKUP(2019,Requirements!A2:B2967,2,FALSE)</f>
        <v/>
      </c>
    </row>
    <row r="1569">
      <c r="A1569" t="inlineStr">
        <is>
          <t xml:space="preserve">home occupant </t>
        </is>
      </c>
      <c r="B1569">
        <f>VLOOKUP(2028,Requirements!A2:B2967,2,FALSE)</f>
        <v/>
      </c>
    </row>
    <row r="1570">
      <c r="A1570" t="inlineStr">
        <is>
          <t xml:space="preserve">home occupant </t>
        </is>
      </c>
      <c r="B1570">
        <f>VLOOKUP(2030,Requirements!A2:B2967,2,FALSE)</f>
        <v/>
      </c>
    </row>
    <row r="1571">
      <c r="A1571" t="inlineStr">
        <is>
          <t xml:space="preserve">home occupant </t>
        </is>
      </c>
      <c r="B1571">
        <f>VLOOKUP(2033,Requirements!A2:B2967,2,FALSE)</f>
        <v/>
      </c>
    </row>
    <row r="1572">
      <c r="A1572" t="inlineStr">
        <is>
          <t xml:space="preserve">home occupant </t>
        </is>
      </c>
      <c r="B1572">
        <f>VLOOKUP(2035,Requirements!A2:B2967,2,FALSE)</f>
        <v/>
      </c>
    </row>
    <row r="1573">
      <c r="A1573" t="inlineStr">
        <is>
          <t xml:space="preserve">home occupant </t>
        </is>
      </c>
      <c r="B1573">
        <f>VLOOKUP(2040,Requirements!A2:B2967,2,FALSE)</f>
        <v/>
      </c>
    </row>
    <row r="1574">
      <c r="A1574" t="inlineStr">
        <is>
          <t xml:space="preserve">home occupant </t>
        </is>
      </c>
      <c r="B1574">
        <f>VLOOKUP(2043,Requirements!A2:B2967,2,FALSE)</f>
        <v/>
      </c>
    </row>
    <row r="1575">
      <c r="A1575" t="inlineStr">
        <is>
          <t xml:space="preserve">home occupant </t>
        </is>
      </c>
      <c r="B1575">
        <f>VLOOKUP(2047,Requirements!A2:B2967,2,FALSE)</f>
        <v/>
      </c>
    </row>
    <row r="1576">
      <c r="A1576" t="inlineStr">
        <is>
          <t xml:space="preserve">home occupant </t>
        </is>
      </c>
      <c r="B1576">
        <f>VLOOKUP(2048,Requirements!A2:B2967,2,FALSE)</f>
        <v/>
      </c>
    </row>
    <row r="1577">
      <c r="A1577" t="inlineStr">
        <is>
          <t xml:space="preserve">home occupant </t>
        </is>
      </c>
      <c r="B1577">
        <f>VLOOKUP(2049,Requirements!A2:B2967,2,FALSE)</f>
        <v/>
      </c>
    </row>
    <row r="1578">
      <c r="A1578" t="inlineStr">
        <is>
          <t xml:space="preserve">home occupant </t>
        </is>
      </c>
      <c r="B1578">
        <f>VLOOKUP(2053,Requirements!A2:B2967,2,FALSE)</f>
        <v/>
      </c>
    </row>
    <row r="1579">
      <c r="A1579" t="inlineStr">
        <is>
          <t xml:space="preserve">home occupant </t>
        </is>
      </c>
      <c r="B1579">
        <f>VLOOKUP(2054,Requirements!A2:B2967,2,FALSE)</f>
        <v/>
      </c>
    </row>
    <row r="1580">
      <c r="A1580" t="inlineStr">
        <is>
          <t xml:space="preserve">home occupant </t>
        </is>
      </c>
      <c r="B1580">
        <f>VLOOKUP(2057,Requirements!A2:B2967,2,FALSE)</f>
        <v/>
      </c>
    </row>
    <row r="1581">
      <c r="A1581" t="inlineStr">
        <is>
          <t xml:space="preserve">home occupant </t>
        </is>
      </c>
      <c r="B1581">
        <f>VLOOKUP(2061,Requirements!A2:B2967,2,FALSE)</f>
        <v/>
      </c>
    </row>
    <row r="1582">
      <c r="A1582" t="inlineStr">
        <is>
          <t xml:space="preserve">home occupant </t>
        </is>
      </c>
      <c r="B1582">
        <f>VLOOKUP(2064,Requirements!A2:B2967,2,FALSE)</f>
        <v/>
      </c>
    </row>
    <row r="1583">
      <c r="A1583" t="inlineStr">
        <is>
          <t xml:space="preserve">home occupant </t>
        </is>
      </c>
      <c r="B1583">
        <f>VLOOKUP(2067,Requirements!A2:B2967,2,FALSE)</f>
        <v/>
      </c>
    </row>
    <row r="1584">
      <c r="A1584" t="inlineStr">
        <is>
          <t xml:space="preserve">home occupant </t>
        </is>
      </c>
      <c r="B1584">
        <f>VLOOKUP(2068,Requirements!A2:B2967,2,FALSE)</f>
        <v/>
      </c>
    </row>
    <row r="1585">
      <c r="A1585" t="inlineStr">
        <is>
          <t xml:space="preserve">home occupant </t>
        </is>
      </c>
      <c r="B1585">
        <f>VLOOKUP(2069,Requirements!A2:B2967,2,FALSE)</f>
        <v/>
      </c>
    </row>
    <row r="1586">
      <c r="A1586" t="inlineStr">
        <is>
          <t xml:space="preserve">home occupant </t>
        </is>
      </c>
      <c r="B1586">
        <f>VLOOKUP(2071,Requirements!A2:B2967,2,FALSE)</f>
        <v/>
      </c>
    </row>
    <row r="1587">
      <c r="A1587" t="inlineStr">
        <is>
          <t xml:space="preserve">home occupant </t>
        </is>
      </c>
      <c r="B1587">
        <f>VLOOKUP(2072,Requirements!A2:B2967,2,FALSE)</f>
        <v/>
      </c>
    </row>
    <row r="1588">
      <c r="A1588" t="inlineStr">
        <is>
          <t xml:space="preserve">home occupant </t>
        </is>
      </c>
      <c r="B1588">
        <f>VLOOKUP(2074,Requirements!A2:B2967,2,FALSE)</f>
        <v/>
      </c>
    </row>
    <row r="1589">
      <c r="A1589" t="inlineStr">
        <is>
          <t xml:space="preserve">home occupant </t>
        </is>
      </c>
      <c r="B1589">
        <f>VLOOKUP(2078,Requirements!A2:B2967,2,FALSE)</f>
        <v/>
      </c>
    </row>
    <row r="1590">
      <c r="A1590" t="inlineStr">
        <is>
          <t xml:space="preserve">home occupant </t>
        </is>
      </c>
      <c r="B1590">
        <f>VLOOKUP(2080,Requirements!A2:B2967,2,FALSE)</f>
        <v/>
      </c>
    </row>
    <row r="1591">
      <c r="A1591" t="inlineStr">
        <is>
          <t xml:space="preserve">home occupant </t>
        </is>
      </c>
      <c r="B1591">
        <f>VLOOKUP(2081,Requirements!A2:B2967,2,FALSE)</f>
        <v/>
      </c>
    </row>
    <row r="1592">
      <c r="A1592" t="inlineStr">
        <is>
          <t xml:space="preserve">home occupant </t>
        </is>
      </c>
      <c r="B1592">
        <f>VLOOKUP(2082,Requirements!A2:B2967,2,FALSE)</f>
        <v/>
      </c>
    </row>
    <row r="1593">
      <c r="A1593" t="inlineStr">
        <is>
          <t xml:space="preserve">home occupant </t>
        </is>
      </c>
      <c r="B1593">
        <f>VLOOKUP(2088,Requirements!A2:B2967,2,FALSE)</f>
        <v/>
      </c>
    </row>
    <row r="1594">
      <c r="A1594" t="inlineStr">
        <is>
          <t xml:space="preserve">home occupant </t>
        </is>
      </c>
      <c r="B1594">
        <f>VLOOKUP(2094,Requirements!A2:B2967,2,FALSE)</f>
        <v/>
      </c>
    </row>
    <row r="1595">
      <c r="A1595" t="inlineStr">
        <is>
          <t xml:space="preserve">home occupant </t>
        </is>
      </c>
      <c r="B1595">
        <f>VLOOKUP(2097,Requirements!A2:B2967,2,FALSE)</f>
        <v/>
      </c>
    </row>
    <row r="1596">
      <c r="A1596" t="inlineStr">
        <is>
          <t xml:space="preserve">home occupant </t>
        </is>
      </c>
      <c r="B1596">
        <f>VLOOKUP(2106,Requirements!A2:B2967,2,FALSE)</f>
        <v/>
      </c>
    </row>
    <row r="1597">
      <c r="A1597" t="inlineStr">
        <is>
          <t xml:space="preserve">home occupant </t>
        </is>
      </c>
      <c r="B1597">
        <f>VLOOKUP(2125,Requirements!A2:B2967,2,FALSE)</f>
        <v/>
      </c>
    </row>
    <row r="1598">
      <c r="A1598" t="inlineStr">
        <is>
          <t xml:space="preserve">home occupant </t>
        </is>
      </c>
      <c r="B1598">
        <f>VLOOKUP(2127,Requirements!A2:B2967,2,FALSE)</f>
        <v/>
      </c>
    </row>
    <row r="1599">
      <c r="A1599" t="inlineStr">
        <is>
          <t xml:space="preserve">home occupant </t>
        </is>
      </c>
      <c r="B1599">
        <f>VLOOKUP(2128,Requirements!A2:B2967,2,FALSE)</f>
        <v/>
      </c>
    </row>
    <row r="1600">
      <c r="A1600" t="inlineStr">
        <is>
          <t xml:space="preserve">home occupant </t>
        </is>
      </c>
      <c r="B1600">
        <f>VLOOKUP(2149,Requirements!A2:B2967,2,FALSE)</f>
        <v/>
      </c>
    </row>
    <row r="1601">
      <c r="A1601" t="inlineStr">
        <is>
          <t xml:space="preserve">home occupant </t>
        </is>
      </c>
      <c r="B1601">
        <f>VLOOKUP(2152,Requirements!A2:B2967,2,FALSE)</f>
        <v/>
      </c>
    </row>
    <row r="1602">
      <c r="A1602" t="inlineStr">
        <is>
          <t xml:space="preserve">home occupant </t>
        </is>
      </c>
      <c r="B1602">
        <f>VLOOKUP(2155,Requirements!A2:B2967,2,FALSE)</f>
        <v/>
      </c>
    </row>
    <row r="1603">
      <c r="A1603" t="inlineStr">
        <is>
          <t xml:space="preserve">home occupant </t>
        </is>
      </c>
      <c r="B1603">
        <f>VLOOKUP(2156,Requirements!A2:B2967,2,FALSE)</f>
        <v/>
      </c>
    </row>
    <row r="1604">
      <c r="A1604" t="inlineStr">
        <is>
          <t xml:space="preserve">home occupant </t>
        </is>
      </c>
      <c r="B1604">
        <f>VLOOKUP(2157,Requirements!A2:B2967,2,FALSE)</f>
        <v/>
      </c>
    </row>
    <row r="1605">
      <c r="A1605" t="inlineStr">
        <is>
          <t xml:space="preserve">home occupant </t>
        </is>
      </c>
      <c r="B1605">
        <f>VLOOKUP(2158,Requirements!A2:B2967,2,FALSE)</f>
        <v/>
      </c>
    </row>
    <row r="1606">
      <c r="A1606" t="inlineStr">
        <is>
          <t xml:space="preserve">home occupant </t>
        </is>
      </c>
      <c r="B1606">
        <f>VLOOKUP(2161,Requirements!A2:B2967,2,FALSE)</f>
        <v/>
      </c>
    </row>
    <row r="1607">
      <c r="A1607" t="inlineStr">
        <is>
          <t xml:space="preserve">home occupant </t>
        </is>
      </c>
      <c r="B1607">
        <f>VLOOKUP(2162,Requirements!A2:B2967,2,FALSE)</f>
        <v/>
      </c>
    </row>
    <row r="1608">
      <c r="A1608" t="inlineStr">
        <is>
          <t xml:space="preserve">home occupant </t>
        </is>
      </c>
      <c r="B1608">
        <f>VLOOKUP(2163,Requirements!A2:B2967,2,FALSE)</f>
        <v/>
      </c>
    </row>
    <row r="1609">
      <c r="A1609" t="inlineStr">
        <is>
          <t xml:space="preserve">home occupant </t>
        </is>
      </c>
      <c r="B1609">
        <f>VLOOKUP(2164,Requirements!A2:B2967,2,FALSE)</f>
        <v/>
      </c>
    </row>
    <row r="1610">
      <c r="A1610" t="inlineStr">
        <is>
          <t xml:space="preserve">home occupant </t>
        </is>
      </c>
      <c r="B1610">
        <f>VLOOKUP(2170,Requirements!A2:B2967,2,FALSE)</f>
        <v/>
      </c>
    </row>
    <row r="1611">
      <c r="A1611" t="inlineStr">
        <is>
          <t xml:space="preserve">home occupant </t>
        </is>
      </c>
      <c r="B1611">
        <f>VLOOKUP(2172,Requirements!A2:B2967,2,FALSE)</f>
        <v/>
      </c>
    </row>
    <row r="1612">
      <c r="A1612" t="inlineStr">
        <is>
          <t xml:space="preserve">home occupant </t>
        </is>
      </c>
      <c r="B1612">
        <f>VLOOKUP(2173,Requirements!A2:B2967,2,FALSE)</f>
        <v/>
      </c>
    </row>
    <row r="1613">
      <c r="A1613" t="inlineStr">
        <is>
          <t xml:space="preserve">home occupant </t>
        </is>
      </c>
      <c r="B1613">
        <f>VLOOKUP(2174,Requirements!A2:B2967,2,FALSE)</f>
        <v/>
      </c>
    </row>
    <row r="1614">
      <c r="A1614" t="inlineStr">
        <is>
          <t xml:space="preserve">home occupant </t>
        </is>
      </c>
      <c r="B1614">
        <f>VLOOKUP(2175,Requirements!A2:B2967,2,FALSE)</f>
        <v/>
      </c>
    </row>
    <row r="1615">
      <c r="A1615" t="inlineStr">
        <is>
          <t xml:space="preserve">home occupant </t>
        </is>
      </c>
      <c r="B1615">
        <f>VLOOKUP(2178,Requirements!A2:B2967,2,FALSE)</f>
        <v/>
      </c>
    </row>
    <row r="1616">
      <c r="A1616" t="inlineStr">
        <is>
          <t xml:space="preserve">home occupant </t>
        </is>
      </c>
      <c r="B1616">
        <f>VLOOKUP(2179,Requirements!A2:B2967,2,FALSE)</f>
        <v/>
      </c>
    </row>
    <row r="1617">
      <c r="A1617" t="inlineStr">
        <is>
          <t xml:space="preserve">home occupant </t>
        </is>
      </c>
      <c r="B1617">
        <f>VLOOKUP(2180,Requirements!A2:B2967,2,FALSE)</f>
        <v/>
      </c>
    </row>
    <row r="1618">
      <c r="A1618" t="inlineStr">
        <is>
          <t xml:space="preserve">home occupant </t>
        </is>
      </c>
      <c r="B1618">
        <f>VLOOKUP(2181,Requirements!A2:B2967,2,FALSE)</f>
        <v/>
      </c>
    </row>
    <row r="1619">
      <c r="A1619" t="inlineStr">
        <is>
          <t xml:space="preserve">home occupant </t>
        </is>
      </c>
      <c r="B1619">
        <f>VLOOKUP(2187,Requirements!A2:B2967,2,FALSE)</f>
        <v/>
      </c>
    </row>
    <row r="1620">
      <c r="A1620" t="inlineStr">
        <is>
          <t xml:space="preserve">home occupant </t>
        </is>
      </c>
      <c r="B1620">
        <f>VLOOKUP(2188,Requirements!A2:B2967,2,FALSE)</f>
        <v/>
      </c>
    </row>
    <row r="1621">
      <c r="A1621" t="inlineStr">
        <is>
          <t xml:space="preserve">home occupant </t>
        </is>
      </c>
      <c r="B1621">
        <f>VLOOKUP(2198,Requirements!A2:B2967,2,FALSE)</f>
        <v/>
      </c>
    </row>
    <row r="1622">
      <c r="A1622" t="inlineStr">
        <is>
          <t xml:space="preserve">home occupant </t>
        </is>
      </c>
      <c r="B1622">
        <f>VLOOKUP(2200,Requirements!A2:B2967,2,FALSE)</f>
        <v/>
      </c>
    </row>
    <row r="1623">
      <c r="A1623" t="inlineStr">
        <is>
          <t xml:space="preserve">home occupant </t>
        </is>
      </c>
      <c r="B1623">
        <f>VLOOKUP(2208,Requirements!A2:B2967,2,FALSE)</f>
        <v/>
      </c>
    </row>
    <row r="1624">
      <c r="A1624" t="inlineStr">
        <is>
          <t xml:space="preserve">home occupant </t>
        </is>
      </c>
      <c r="B1624">
        <f>VLOOKUP(2212,Requirements!A2:B2967,2,FALSE)</f>
        <v/>
      </c>
    </row>
    <row r="1625">
      <c r="A1625" t="inlineStr">
        <is>
          <t xml:space="preserve">home occupant </t>
        </is>
      </c>
      <c r="B1625">
        <f>VLOOKUP(2214,Requirements!A2:B2967,2,FALSE)</f>
        <v/>
      </c>
    </row>
    <row r="1626">
      <c r="A1626" t="inlineStr">
        <is>
          <t xml:space="preserve">home occupant </t>
        </is>
      </c>
      <c r="B1626">
        <f>VLOOKUP(2216,Requirements!A2:B2967,2,FALSE)</f>
        <v/>
      </c>
    </row>
    <row r="1627">
      <c r="A1627" t="inlineStr">
        <is>
          <t xml:space="preserve">home occupant </t>
        </is>
      </c>
      <c r="B1627">
        <f>VLOOKUP(2218,Requirements!A2:B2967,2,FALSE)</f>
        <v/>
      </c>
    </row>
    <row r="1628">
      <c r="A1628" t="inlineStr">
        <is>
          <t xml:space="preserve">home occupant </t>
        </is>
      </c>
      <c r="B1628">
        <f>VLOOKUP(2219,Requirements!A2:B2967,2,FALSE)</f>
        <v/>
      </c>
    </row>
    <row r="1629">
      <c r="A1629" t="inlineStr">
        <is>
          <t xml:space="preserve">home occupant </t>
        </is>
      </c>
      <c r="B1629">
        <f>VLOOKUP(2221,Requirements!A2:B2967,2,FALSE)</f>
        <v/>
      </c>
    </row>
    <row r="1630">
      <c r="A1630" t="inlineStr">
        <is>
          <t xml:space="preserve">home occupant </t>
        </is>
      </c>
      <c r="B1630">
        <f>VLOOKUP(2222,Requirements!A2:B2967,2,FALSE)</f>
        <v/>
      </c>
    </row>
    <row r="1631">
      <c r="A1631" t="inlineStr">
        <is>
          <t xml:space="preserve">home occupant </t>
        </is>
      </c>
      <c r="B1631">
        <f>VLOOKUP(2223,Requirements!A2:B2967,2,FALSE)</f>
        <v/>
      </c>
    </row>
    <row r="1632">
      <c r="A1632" t="inlineStr">
        <is>
          <t xml:space="preserve">home occupant </t>
        </is>
      </c>
      <c r="B1632">
        <f>VLOOKUP(2228,Requirements!A2:B2967,2,FALSE)</f>
        <v/>
      </c>
    </row>
    <row r="1633">
      <c r="A1633" t="inlineStr">
        <is>
          <t xml:space="preserve">home occupant </t>
        </is>
      </c>
      <c r="B1633">
        <f>VLOOKUP(2229,Requirements!A2:B2967,2,FALSE)</f>
        <v/>
      </c>
    </row>
    <row r="1634">
      <c r="A1634" t="inlineStr">
        <is>
          <t xml:space="preserve">home occupant </t>
        </is>
      </c>
      <c r="B1634">
        <f>VLOOKUP(2231,Requirements!A2:B2967,2,FALSE)</f>
        <v/>
      </c>
    </row>
    <row r="1635">
      <c r="A1635" t="inlineStr">
        <is>
          <t xml:space="preserve">home occupant </t>
        </is>
      </c>
      <c r="B1635">
        <f>VLOOKUP(2235,Requirements!A2:B2967,2,FALSE)</f>
        <v/>
      </c>
    </row>
    <row r="1636">
      <c r="A1636" t="inlineStr">
        <is>
          <t xml:space="preserve">home occupant </t>
        </is>
      </c>
      <c r="B1636">
        <f>VLOOKUP(2237,Requirements!A2:B2967,2,FALSE)</f>
        <v/>
      </c>
    </row>
    <row r="1637">
      <c r="A1637" t="inlineStr">
        <is>
          <t xml:space="preserve">home occupant </t>
        </is>
      </c>
      <c r="B1637">
        <f>VLOOKUP(2239,Requirements!A2:B2967,2,FALSE)</f>
        <v/>
      </c>
    </row>
    <row r="1638">
      <c r="A1638" t="inlineStr">
        <is>
          <t xml:space="preserve">home occupant </t>
        </is>
      </c>
      <c r="B1638">
        <f>VLOOKUP(2241,Requirements!A2:B2967,2,FALSE)</f>
        <v/>
      </c>
    </row>
    <row r="1639">
      <c r="A1639" t="inlineStr">
        <is>
          <t xml:space="preserve">home occupant </t>
        </is>
      </c>
      <c r="B1639">
        <f>VLOOKUP(2244,Requirements!A2:B2967,2,FALSE)</f>
        <v/>
      </c>
    </row>
    <row r="1640">
      <c r="A1640" t="inlineStr">
        <is>
          <t xml:space="preserve">home occupant </t>
        </is>
      </c>
      <c r="B1640">
        <f>VLOOKUP(2245,Requirements!A2:B2967,2,FALSE)</f>
        <v/>
      </c>
    </row>
    <row r="1641">
      <c r="A1641" t="inlineStr">
        <is>
          <t xml:space="preserve">home occupant </t>
        </is>
      </c>
      <c r="B1641">
        <f>VLOOKUP(2247,Requirements!A2:B2967,2,FALSE)</f>
        <v/>
      </c>
    </row>
    <row r="1642">
      <c r="A1642" t="inlineStr">
        <is>
          <t xml:space="preserve">home occupant </t>
        </is>
      </c>
      <c r="B1642">
        <f>VLOOKUP(2248,Requirements!A2:B2967,2,FALSE)</f>
        <v/>
      </c>
    </row>
    <row r="1643">
      <c r="A1643" t="inlineStr">
        <is>
          <t xml:space="preserve">home occupant </t>
        </is>
      </c>
      <c r="B1643">
        <f>VLOOKUP(2249,Requirements!A2:B2967,2,FALSE)</f>
        <v/>
      </c>
    </row>
    <row r="1644">
      <c r="A1644" t="inlineStr">
        <is>
          <t xml:space="preserve">home occupant </t>
        </is>
      </c>
      <c r="B1644">
        <f>VLOOKUP(2250,Requirements!A2:B2967,2,FALSE)</f>
        <v/>
      </c>
    </row>
    <row r="1645">
      <c r="A1645" t="inlineStr">
        <is>
          <t xml:space="preserve">home occupant </t>
        </is>
      </c>
      <c r="B1645">
        <f>VLOOKUP(2251,Requirements!A2:B2967,2,FALSE)</f>
        <v/>
      </c>
    </row>
    <row r="1646">
      <c r="A1646" t="inlineStr">
        <is>
          <t xml:space="preserve">home occupant </t>
        </is>
      </c>
      <c r="B1646">
        <f>VLOOKUP(2252,Requirements!A2:B2967,2,FALSE)</f>
        <v/>
      </c>
    </row>
    <row r="1647">
      <c r="A1647" t="inlineStr">
        <is>
          <t xml:space="preserve">home occupant </t>
        </is>
      </c>
      <c r="B1647">
        <f>VLOOKUP(2259,Requirements!A2:B2967,2,FALSE)</f>
        <v/>
      </c>
    </row>
    <row r="1648">
      <c r="A1648" t="inlineStr">
        <is>
          <t xml:space="preserve">home occupant </t>
        </is>
      </c>
      <c r="B1648">
        <f>VLOOKUP(2261,Requirements!A2:B2967,2,FALSE)</f>
        <v/>
      </c>
    </row>
    <row r="1649">
      <c r="A1649" t="inlineStr">
        <is>
          <t xml:space="preserve">home occupant </t>
        </is>
      </c>
      <c r="B1649">
        <f>VLOOKUP(2263,Requirements!A2:B2967,2,FALSE)</f>
        <v/>
      </c>
    </row>
    <row r="1650">
      <c r="A1650" t="inlineStr">
        <is>
          <t xml:space="preserve">home occupant </t>
        </is>
      </c>
      <c r="B1650">
        <f>VLOOKUP(2264,Requirements!A2:B2967,2,FALSE)</f>
        <v/>
      </c>
    </row>
    <row r="1651">
      <c r="A1651" t="inlineStr">
        <is>
          <t xml:space="preserve">home occupant </t>
        </is>
      </c>
      <c r="B1651">
        <f>VLOOKUP(2266,Requirements!A2:B2967,2,FALSE)</f>
        <v/>
      </c>
    </row>
    <row r="1652">
      <c r="A1652" t="inlineStr">
        <is>
          <t xml:space="preserve">home occupant </t>
        </is>
      </c>
      <c r="B1652">
        <f>VLOOKUP(2268,Requirements!A2:B2967,2,FALSE)</f>
        <v/>
      </c>
    </row>
    <row r="1653">
      <c r="A1653" t="inlineStr">
        <is>
          <t xml:space="preserve">home occupant </t>
        </is>
      </c>
      <c r="B1653">
        <f>VLOOKUP(2269,Requirements!A2:B2967,2,FALSE)</f>
        <v/>
      </c>
    </row>
    <row r="1654">
      <c r="A1654" t="inlineStr">
        <is>
          <t xml:space="preserve">home occupant </t>
        </is>
      </c>
      <c r="B1654">
        <f>VLOOKUP(2270,Requirements!A2:B2967,2,FALSE)</f>
        <v/>
      </c>
    </row>
    <row r="1655">
      <c r="A1655" t="inlineStr">
        <is>
          <t xml:space="preserve">home occupant </t>
        </is>
      </c>
      <c r="B1655">
        <f>VLOOKUP(2271,Requirements!A2:B2967,2,FALSE)</f>
        <v/>
      </c>
    </row>
    <row r="1656">
      <c r="A1656" t="inlineStr">
        <is>
          <t xml:space="preserve">home occupant </t>
        </is>
      </c>
      <c r="B1656">
        <f>VLOOKUP(2272,Requirements!A2:B2967,2,FALSE)</f>
        <v/>
      </c>
    </row>
    <row r="1657">
      <c r="A1657" t="inlineStr">
        <is>
          <t xml:space="preserve">home occupant </t>
        </is>
      </c>
      <c r="B1657">
        <f>VLOOKUP(2274,Requirements!A2:B2967,2,FALSE)</f>
        <v/>
      </c>
    </row>
    <row r="1658">
      <c r="A1658" t="inlineStr">
        <is>
          <t xml:space="preserve">home occupant </t>
        </is>
      </c>
      <c r="B1658">
        <f>VLOOKUP(2275,Requirements!A2:B2967,2,FALSE)</f>
        <v/>
      </c>
    </row>
    <row r="1659">
      <c r="A1659" t="inlineStr">
        <is>
          <t xml:space="preserve">home occupant </t>
        </is>
      </c>
      <c r="B1659">
        <f>VLOOKUP(2276,Requirements!A2:B2967,2,FALSE)</f>
        <v/>
      </c>
    </row>
    <row r="1660">
      <c r="A1660" t="inlineStr">
        <is>
          <t xml:space="preserve">home occupant </t>
        </is>
      </c>
      <c r="B1660">
        <f>VLOOKUP(2279,Requirements!A2:B2967,2,FALSE)</f>
        <v/>
      </c>
    </row>
    <row r="1661">
      <c r="A1661" t="inlineStr">
        <is>
          <t xml:space="preserve">home occupant </t>
        </is>
      </c>
      <c r="B1661">
        <f>VLOOKUP(2280,Requirements!A2:B2967,2,FALSE)</f>
        <v/>
      </c>
    </row>
    <row r="1662">
      <c r="A1662" t="inlineStr">
        <is>
          <t xml:space="preserve">home occupant </t>
        </is>
      </c>
      <c r="B1662">
        <f>VLOOKUP(2282,Requirements!A2:B2967,2,FALSE)</f>
        <v/>
      </c>
    </row>
    <row r="1663">
      <c r="A1663" t="inlineStr">
        <is>
          <t xml:space="preserve">home occupant </t>
        </is>
      </c>
      <c r="B1663">
        <f>VLOOKUP(2283,Requirements!A2:B2967,2,FALSE)</f>
        <v/>
      </c>
    </row>
    <row r="1664">
      <c r="A1664" t="inlineStr">
        <is>
          <t xml:space="preserve">home occupant </t>
        </is>
      </c>
      <c r="B1664">
        <f>VLOOKUP(2284,Requirements!A2:B2967,2,FALSE)</f>
        <v/>
      </c>
    </row>
    <row r="1665">
      <c r="A1665" t="inlineStr">
        <is>
          <t xml:space="preserve">home occupant </t>
        </is>
      </c>
      <c r="B1665">
        <f>VLOOKUP(2286,Requirements!A2:B2967,2,FALSE)</f>
        <v/>
      </c>
    </row>
    <row r="1666">
      <c r="A1666" t="inlineStr">
        <is>
          <t xml:space="preserve">home occupant </t>
        </is>
      </c>
      <c r="B1666">
        <f>VLOOKUP(2287,Requirements!A2:B2967,2,FALSE)</f>
        <v/>
      </c>
    </row>
    <row r="1667">
      <c r="A1667" t="inlineStr">
        <is>
          <t xml:space="preserve">home occupant </t>
        </is>
      </c>
      <c r="B1667">
        <f>VLOOKUP(2295,Requirements!A2:B2967,2,FALSE)</f>
        <v/>
      </c>
    </row>
    <row r="1668">
      <c r="A1668" t="inlineStr">
        <is>
          <t xml:space="preserve">home occupant </t>
        </is>
      </c>
      <c r="B1668">
        <f>VLOOKUP(2299,Requirements!A2:B2967,2,FALSE)</f>
        <v/>
      </c>
    </row>
    <row r="1669">
      <c r="A1669" t="inlineStr">
        <is>
          <t xml:space="preserve">home occupant </t>
        </is>
      </c>
      <c r="B1669">
        <f>VLOOKUP(2301,Requirements!A2:B2967,2,FALSE)</f>
        <v/>
      </c>
    </row>
    <row r="1670">
      <c r="A1670" t="inlineStr">
        <is>
          <t xml:space="preserve">home occupant </t>
        </is>
      </c>
      <c r="B1670">
        <f>VLOOKUP(2302,Requirements!A2:B2967,2,FALSE)</f>
        <v/>
      </c>
    </row>
    <row r="1671">
      <c r="A1671" t="inlineStr">
        <is>
          <t xml:space="preserve">home occupant </t>
        </is>
      </c>
      <c r="B1671">
        <f>VLOOKUP(2303,Requirements!A2:B2967,2,FALSE)</f>
        <v/>
      </c>
    </row>
    <row r="1672">
      <c r="A1672" t="inlineStr">
        <is>
          <t xml:space="preserve">home occupant </t>
        </is>
      </c>
      <c r="B1672">
        <f>VLOOKUP(2304,Requirements!A2:B2967,2,FALSE)</f>
        <v/>
      </c>
    </row>
    <row r="1673">
      <c r="A1673" t="inlineStr">
        <is>
          <t xml:space="preserve">home occupant </t>
        </is>
      </c>
      <c r="B1673">
        <f>VLOOKUP(2306,Requirements!A2:B2967,2,FALSE)</f>
        <v/>
      </c>
    </row>
    <row r="1674">
      <c r="A1674" t="inlineStr">
        <is>
          <t xml:space="preserve">home occupant </t>
        </is>
      </c>
      <c r="B1674">
        <f>VLOOKUP(2307,Requirements!A2:B2967,2,FALSE)</f>
        <v/>
      </c>
    </row>
    <row r="1675">
      <c r="A1675" t="inlineStr">
        <is>
          <t xml:space="preserve">home occupant </t>
        </is>
      </c>
      <c r="B1675">
        <f>VLOOKUP(2308,Requirements!A2:B2967,2,FALSE)</f>
        <v/>
      </c>
    </row>
    <row r="1676">
      <c r="A1676" t="inlineStr">
        <is>
          <t xml:space="preserve">home occupant </t>
        </is>
      </c>
      <c r="B1676">
        <f>VLOOKUP(2309,Requirements!A2:B2967,2,FALSE)</f>
        <v/>
      </c>
    </row>
    <row r="1677">
      <c r="A1677" t="inlineStr">
        <is>
          <t xml:space="preserve">home occupant </t>
        </is>
      </c>
      <c r="B1677">
        <f>VLOOKUP(2350,Requirements!A2:B2967,2,FALSE)</f>
        <v/>
      </c>
    </row>
    <row r="1678">
      <c r="A1678" t="inlineStr">
        <is>
          <t xml:space="preserve">home occupant </t>
        </is>
      </c>
      <c r="B1678">
        <f>VLOOKUP(2351,Requirements!A2:B2967,2,FALSE)</f>
        <v/>
      </c>
    </row>
    <row r="1679">
      <c r="A1679" t="inlineStr">
        <is>
          <t xml:space="preserve">home occupant </t>
        </is>
      </c>
      <c r="B1679">
        <f>VLOOKUP(2354,Requirements!A2:B2967,2,FALSE)</f>
        <v/>
      </c>
    </row>
    <row r="1680">
      <c r="A1680" t="inlineStr">
        <is>
          <t xml:space="preserve">home occupant </t>
        </is>
      </c>
      <c r="B1680">
        <f>VLOOKUP(2355,Requirements!A2:B2967,2,FALSE)</f>
        <v/>
      </c>
    </row>
    <row r="1681">
      <c r="A1681" t="inlineStr">
        <is>
          <t xml:space="preserve">home occupant </t>
        </is>
      </c>
      <c r="B1681">
        <f>VLOOKUP(2382,Requirements!A2:B2967,2,FALSE)</f>
        <v/>
      </c>
    </row>
    <row r="1682">
      <c r="A1682" t="inlineStr">
        <is>
          <t xml:space="preserve">home occupant </t>
        </is>
      </c>
      <c r="B1682">
        <f>VLOOKUP(2390,Requirements!A2:B2967,2,FALSE)</f>
        <v/>
      </c>
    </row>
    <row r="1683">
      <c r="A1683" t="inlineStr">
        <is>
          <t xml:space="preserve">home occupant </t>
        </is>
      </c>
      <c r="B1683">
        <f>VLOOKUP(2391,Requirements!A2:B2967,2,FALSE)</f>
        <v/>
      </c>
    </row>
    <row r="1684">
      <c r="A1684" t="inlineStr">
        <is>
          <t xml:space="preserve">home occupant </t>
        </is>
      </c>
      <c r="B1684">
        <f>VLOOKUP(2392,Requirements!A2:B2967,2,FALSE)</f>
        <v/>
      </c>
    </row>
    <row r="1685">
      <c r="A1685" t="inlineStr">
        <is>
          <t xml:space="preserve">home occupant </t>
        </is>
      </c>
      <c r="B1685">
        <f>VLOOKUP(2394,Requirements!A2:B2967,2,FALSE)</f>
        <v/>
      </c>
    </row>
    <row r="1686">
      <c r="A1686" t="inlineStr">
        <is>
          <t xml:space="preserve">home occupant </t>
        </is>
      </c>
      <c r="B1686">
        <f>VLOOKUP(2396,Requirements!A2:B2967,2,FALSE)</f>
        <v/>
      </c>
    </row>
    <row r="1687">
      <c r="A1687" t="inlineStr">
        <is>
          <t xml:space="preserve">home occupant </t>
        </is>
      </c>
      <c r="B1687">
        <f>VLOOKUP(2397,Requirements!A2:B2967,2,FALSE)</f>
        <v/>
      </c>
    </row>
    <row r="1688">
      <c r="A1688" t="inlineStr">
        <is>
          <t xml:space="preserve">home occupant </t>
        </is>
      </c>
      <c r="B1688">
        <f>VLOOKUP(2398,Requirements!A2:B2967,2,FALSE)</f>
        <v/>
      </c>
    </row>
    <row r="1689">
      <c r="A1689" t="inlineStr">
        <is>
          <t xml:space="preserve">home occupant </t>
        </is>
      </c>
      <c r="B1689">
        <f>VLOOKUP(2399,Requirements!A2:B2967,2,FALSE)</f>
        <v/>
      </c>
    </row>
    <row r="1690">
      <c r="A1690" t="inlineStr">
        <is>
          <t xml:space="preserve">home occupant </t>
        </is>
      </c>
      <c r="B1690">
        <f>VLOOKUP(2404,Requirements!A2:B2967,2,FALSE)</f>
        <v/>
      </c>
    </row>
    <row r="1691">
      <c r="A1691" t="inlineStr">
        <is>
          <t xml:space="preserve">home occupant </t>
        </is>
      </c>
      <c r="B1691">
        <f>VLOOKUP(2409,Requirements!A2:B2967,2,FALSE)</f>
        <v/>
      </c>
    </row>
    <row r="1692">
      <c r="A1692" t="inlineStr">
        <is>
          <t xml:space="preserve">home occupant </t>
        </is>
      </c>
      <c r="B1692">
        <f>VLOOKUP(2413,Requirements!A2:B2967,2,FALSE)</f>
        <v/>
      </c>
    </row>
    <row r="1693">
      <c r="A1693" t="inlineStr">
        <is>
          <t xml:space="preserve">home occupant </t>
        </is>
      </c>
      <c r="B1693">
        <f>VLOOKUP(2416,Requirements!A2:B2967,2,FALSE)</f>
        <v/>
      </c>
    </row>
    <row r="1694">
      <c r="A1694" t="inlineStr">
        <is>
          <t xml:space="preserve">home occupant </t>
        </is>
      </c>
      <c r="B1694">
        <f>VLOOKUP(2422,Requirements!A2:B2967,2,FALSE)</f>
        <v/>
      </c>
    </row>
    <row r="1695">
      <c r="A1695" t="inlineStr">
        <is>
          <t xml:space="preserve">home occupant </t>
        </is>
      </c>
      <c r="B1695">
        <f>VLOOKUP(2425,Requirements!A2:B2967,2,FALSE)</f>
        <v/>
      </c>
    </row>
    <row r="1696">
      <c r="A1696" t="inlineStr">
        <is>
          <t xml:space="preserve">home occupant </t>
        </is>
      </c>
      <c r="B1696">
        <f>VLOOKUP(2432,Requirements!A2:B2967,2,FALSE)</f>
        <v/>
      </c>
    </row>
    <row r="1697">
      <c r="A1697" t="inlineStr">
        <is>
          <t xml:space="preserve">home occupant </t>
        </is>
      </c>
      <c r="B1697">
        <f>VLOOKUP(2433,Requirements!A2:B2967,2,FALSE)</f>
        <v/>
      </c>
    </row>
    <row r="1698">
      <c r="A1698" t="inlineStr">
        <is>
          <t xml:space="preserve">home occupant </t>
        </is>
      </c>
      <c r="B1698">
        <f>VLOOKUP(2436,Requirements!A2:B2967,2,FALSE)</f>
        <v/>
      </c>
    </row>
    <row r="1699">
      <c r="A1699" t="inlineStr">
        <is>
          <t xml:space="preserve">home occupant </t>
        </is>
      </c>
      <c r="B1699">
        <f>VLOOKUP(2437,Requirements!A2:B2967,2,FALSE)</f>
        <v/>
      </c>
    </row>
    <row r="1700">
      <c r="A1700" t="inlineStr">
        <is>
          <t xml:space="preserve">home occupant </t>
        </is>
      </c>
      <c r="B1700">
        <f>VLOOKUP(2438,Requirements!A2:B2967,2,FALSE)</f>
        <v/>
      </c>
    </row>
    <row r="1701">
      <c r="A1701" t="inlineStr">
        <is>
          <t xml:space="preserve">home occupant </t>
        </is>
      </c>
      <c r="B1701">
        <f>VLOOKUP(2443,Requirements!A2:B2967,2,FALSE)</f>
        <v/>
      </c>
    </row>
    <row r="1702">
      <c r="A1702" t="inlineStr">
        <is>
          <t xml:space="preserve">home occupant </t>
        </is>
      </c>
      <c r="B1702">
        <f>VLOOKUP(2446,Requirements!A2:B2967,2,FALSE)</f>
        <v/>
      </c>
    </row>
    <row r="1703">
      <c r="A1703" t="inlineStr">
        <is>
          <t xml:space="preserve">home occupant </t>
        </is>
      </c>
      <c r="B1703">
        <f>VLOOKUP(2448,Requirements!A2:B2967,2,FALSE)</f>
        <v/>
      </c>
    </row>
    <row r="1704">
      <c r="A1704" t="inlineStr">
        <is>
          <t xml:space="preserve">home occupant </t>
        </is>
      </c>
      <c r="B1704">
        <f>VLOOKUP(2449,Requirements!A2:B2967,2,FALSE)</f>
        <v/>
      </c>
    </row>
    <row r="1705">
      <c r="A1705" t="inlineStr">
        <is>
          <t xml:space="preserve">home occupant </t>
        </is>
      </c>
      <c r="B1705">
        <f>VLOOKUP(2455,Requirements!A2:B2967,2,FALSE)</f>
        <v/>
      </c>
    </row>
    <row r="1706">
      <c r="A1706" t="inlineStr">
        <is>
          <t xml:space="preserve">home occupant </t>
        </is>
      </c>
      <c r="B1706">
        <f>VLOOKUP(2457,Requirements!A2:B2967,2,FALSE)</f>
        <v/>
      </c>
    </row>
    <row r="1707">
      <c r="A1707" t="inlineStr">
        <is>
          <t xml:space="preserve">home occupant </t>
        </is>
      </c>
      <c r="B1707">
        <f>VLOOKUP(2461,Requirements!A2:B2967,2,FALSE)</f>
        <v/>
      </c>
    </row>
    <row r="1708">
      <c r="A1708" t="inlineStr">
        <is>
          <t xml:space="preserve">home occupant </t>
        </is>
      </c>
      <c r="B1708">
        <f>VLOOKUP(2465,Requirements!A2:B2967,2,FALSE)</f>
        <v/>
      </c>
    </row>
    <row r="1709">
      <c r="A1709" t="inlineStr">
        <is>
          <t xml:space="preserve">home occupant </t>
        </is>
      </c>
      <c r="B1709">
        <f>VLOOKUP(2466,Requirements!A2:B2967,2,FALSE)</f>
        <v/>
      </c>
    </row>
    <row r="1710">
      <c r="A1710" t="inlineStr">
        <is>
          <t xml:space="preserve">home occupant </t>
        </is>
      </c>
      <c r="B1710">
        <f>VLOOKUP(2468,Requirements!A2:B2967,2,FALSE)</f>
        <v/>
      </c>
    </row>
    <row r="1711">
      <c r="A1711" t="inlineStr">
        <is>
          <t xml:space="preserve">home occupant </t>
        </is>
      </c>
      <c r="B1711">
        <f>VLOOKUP(2469,Requirements!A2:B2967,2,FALSE)</f>
        <v/>
      </c>
    </row>
    <row r="1712">
      <c r="A1712" t="inlineStr">
        <is>
          <t xml:space="preserve">home occupant </t>
        </is>
      </c>
      <c r="B1712">
        <f>VLOOKUP(2470,Requirements!A2:B2967,2,FALSE)</f>
        <v/>
      </c>
    </row>
    <row r="1713">
      <c r="A1713" t="inlineStr">
        <is>
          <t xml:space="preserve">home occupant </t>
        </is>
      </c>
      <c r="B1713">
        <f>VLOOKUP(2471,Requirements!A2:B2967,2,FALSE)</f>
        <v/>
      </c>
    </row>
    <row r="1714">
      <c r="A1714" t="inlineStr">
        <is>
          <t xml:space="preserve">home occupant </t>
        </is>
      </c>
      <c r="B1714">
        <f>VLOOKUP(2473,Requirements!A2:B2967,2,FALSE)</f>
        <v/>
      </c>
    </row>
    <row r="1715">
      <c r="A1715" t="inlineStr">
        <is>
          <t xml:space="preserve">home occupant </t>
        </is>
      </c>
      <c r="B1715">
        <f>VLOOKUP(2474,Requirements!A2:B2967,2,FALSE)</f>
        <v/>
      </c>
    </row>
    <row r="1716">
      <c r="A1716" t="inlineStr">
        <is>
          <t xml:space="preserve">home occupant </t>
        </is>
      </c>
      <c r="B1716">
        <f>VLOOKUP(2476,Requirements!A2:B2967,2,FALSE)</f>
        <v/>
      </c>
    </row>
    <row r="1717">
      <c r="A1717" t="inlineStr">
        <is>
          <t xml:space="preserve">home occupant </t>
        </is>
      </c>
      <c r="B1717">
        <f>VLOOKUP(2479,Requirements!A2:B2967,2,FALSE)</f>
        <v/>
      </c>
    </row>
    <row r="1718">
      <c r="A1718" t="inlineStr">
        <is>
          <t xml:space="preserve">home occupant </t>
        </is>
      </c>
      <c r="B1718">
        <f>VLOOKUP(2490,Requirements!A2:B2967,2,FALSE)</f>
        <v/>
      </c>
    </row>
    <row r="1719">
      <c r="A1719" t="inlineStr">
        <is>
          <t xml:space="preserve">home occupant </t>
        </is>
      </c>
      <c r="B1719">
        <f>VLOOKUP(2491,Requirements!A2:B2967,2,FALSE)</f>
        <v/>
      </c>
    </row>
    <row r="1720">
      <c r="A1720" t="inlineStr">
        <is>
          <t xml:space="preserve">home occupant </t>
        </is>
      </c>
      <c r="B1720">
        <f>VLOOKUP(2500,Requirements!A2:B2967,2,FALSE)</f>
        <v/>
      </c>
    </row>
    <row r="1721">
      <c r="A1721" t="inlineStr">
        <is>
          <t xml:space="preserve">home occupant </t>
        </is>
      </c>
      <c r="B1721">
        <f>VLOOKUP(2504,Requirements!A2:B2967,2,FALSE)</f>
        <v/>
      </c>
    </row>
    <row r="1722">
      <c r="A1722" t="inlineStr">
        <is>
          <t xml:space="preserve">home occupant </t>
        </is>
      </c>
      <c r="B1722">
        <f>VLOOKUP(2515,Requirements!A2:B2967,2,FALSE)</f>
        <v/>
      </c>
    </row>
    <row r="1723">
      <c r="A1723" t="inlineStr">
        <is>
          <t xml:space="preserve">home occupant </t>
        </is>
      </c>
      <c r="B1723">
        <f>VLOOKUP(2520,Requirements!A2:B2967,2,FALSE)</f>
        <v/>
      </c>
    </row>
    <row r="1724">
      <c r="A1724" t="inlineStr">
        <is>
          <t xml:space="preserve">home occupant </t>
        </is>
      </c>
      <c r="B1724">
        <f>VLOOKUP(2521,Requirements!A2:B2967,2,FALSE)</f>
        <v/>
      </c>
    </row>
    <row r="1725">
      <c r="A1725" t="inlineStr">
        <is>
          <t xml:space="preserve">home occupant </t>
        </is>
      </c>
      <c r="B1725">
        <f>VLOOKUP(2523,Requirements!A2:B2967,2,FALSE)</f>
        <v/>
      </c>
    </row>
    <row r="1726">
      <c r="A1726" t="inlineStr">
        <is>
          <t xml:space="preserve">home occupant </t>
        </is>
      </c>
      <c r="B1726">
        <f>VLOOKUP(2524,Requirements!A2:B2967,2,FALSE)</f>
        <v/>
      </c>
    </row>
    <row r="1727">
      <c r="A1727" t="inlineStr">
        <is>
          <t xml:space="preserve">home occupant </t>
        </is>
      </c>
      <c r="B1727">
        <f>VLOOKUP(2525,Requirements!A2:B2967,2,FALSE)</f>
        <v/>
      </c>
    </row>
    <row r="1728">
      <c r="A1728" t="inlineStr">
        <is>
          <t xml:space="preserve">home occupant </t>
        </is>
      </c>
      <c r="B1728">
        <f>VLOOKUP(2528,Requirements!A2:B2967,2,FALSE)</f>
        <v/>
      </c>
    </row>
    <row r="1729">
      <c r="A1729" t="inlineStr">
        <is>
          <t xml:space="preserve">home occupant </t>
        </is>
      </c>
      <c r="B1729">
        <f>VLOOKUP(2529,Requirements!A2:B2967,2,FALSE)</f>
        <v/>
      </c>
    </row>
    <row r="1730">
      <c r="A1730" t="inlineStr">
        <is>
          <t xml:space="preserve">home occupant </t>
        </is>
      </c>
      <c r="B1730">
        <f>VLOOKUP(2531,Requirements!A2:B2967,2,FALSE)</f>
        <v/>
      </c>
    </row>
    <row r="1731">
      <c r="A1731" t="inlineStr">
        <is>
          <t xml:space="preserve">home occupant </t>
        </is>
      </c>
      <c r="B1731">
        <f>VLOOKUP(2532,Requirements!A2:B2967,2,FALSE)</f>
        <v/>
      </c>
    </row>
    <row r="1732">
      <c r="A1732" t="inlineStr">
        <is>
          <t xml:space="preserve">home occupant </t>
        </is>
      </c>
      <c r="B1732">
        <f>VLOOKUP(2534,Requirements!A2:B2967,2,FALSE)</f>
        <v/>
      </c>
    </row>
    <row r="1733">
      <c r="A1733" t="inlineStr">
        <is>
          <t xml:space="preserve">home occupant </t>
        </is>
      </c>
      <c r="B1733">
        <f>VLOOKUP(2536,Requirements!A2:B2967,2,FALSE)</f>
        <v/>
      </c>
    </row>
    <row r="1734">
      <c r="A1734" t="inlineStr">
        <is>
          <t xml:space="preserve">home occupant </t>
        </is>
      </c>
      <c r="B1734">
        <f>VLOOKUP(2539,Requirements!A2:B2967,2,FALSE)</f>
        <v/>
      </c>
    </row>
    <row r="1735">
      <c r="A1735" t="inlineStr">
        <is>
          <t xml:space="preserve">home occupant </t>
        </is>
      </c>
      <c r="B1735">
        <f>VLOOKUP(2541,Requirements!A2:B2967,2,FALSE)</f>
        <v/>
      </c>
    </row>
    <row r="1736">
      <c r="A1736" t="inlineStr">
        <is>
          <t xml:space="preserve">home occupant </t>
        </is>
      </c>
      <c r="B1736">
        <f>VLOOKUP(2545,Requirements!A2:B2967,2,FALSE)</f>
        <v/>
      </c>
    </row>
    <row r="1737">
      <c r="A1737" t="inlineStr">
        <is>
          <t xml:space="preserve">home occupant </t>
        </is>
      </c>
      <c r="B1737">
        <f>VLOOKUP(2546,Requirements!A2:B2967,2,FALSE)</f>
        <v/>
      </c>
    </row>
    <row r="1738">
      <c r="A1738" t="inlineStr">
        <is>
          <t xml:space="preserve">home occupant </t>
        </is>
      </c>
      <c r="B1738">
        <f>VLOOKUP(2547,Requirements!A2:B2967,2,FALSE)</f>
        <v/>
      </c>
    </row>
    <row r="1739">
      <c r="A1739" t="inlineStr">
        <is>
          <t xml:space="preserve">home occupant </t>
        </is>
      </c>
      <c r="B1739">
        <f>VLOOKUP(2548,Requirements!A2:B2967,2,FALSE)</f>
        <v/>
      </c>
    </row>
    <row r="1740">
      <c r="A1740" t="inlineStr">
        <is>
          <t xml:space="preserve">home occupant </t>
        </is>
      </c>
      <c r="B1740">
        <f>VLOOKUP(2549,Requirements!A2:B2967,2,FALSE)</f>
        <v/>
      </c>
    </row>
    <row r="1741">
      <c r="A1741" t="inlineStr">
        <is>
          <t xml:space="preserve">home occupant </t>
        </is>
      </c>
      <c r="B1741">
        <f>VLOOKUP(2550,Requirements!A2:B2967,2,FALSE)</f>
        <v/>
      </c>
    </row>
    <row r="1742">
      <c r="A1742" t="inlineStr">
        <is>
          <t xml:space="preserve">home occupant </t>
        </is>
      </c>
      <c r="B1742">
        <f>VLOOKUP(2551,Requirements!A2:B2967,2,FALSE)</f>
        <v/>
      </c>
    </row>
    <row r="1743">
      <c r="A1743" t="inlineStr">
        <is>
          <t xml:space="preserve">home occupant </t>
        </is>
      </c>
      <c r="B1743">
        <f>VLOOKUP(2552,Requirements!A2:B2967,2,FALSE)</f>
        <v/>
      </c>
    </row>
    <row r="1744">
      <c r="A1744" t="inlineStr">
        <is>
          <t xml:space="preserve">home occupant </t>
        </is>
      </c>
      <c r="B1744">
        <f>VLOOKUP(2553,Requirements!A2:B2967,2,FALSE)</f>
        <v/>
      </c>
    </row>
    <row r="1745">
      <c r="A1745" t="inlineStr">
        <is>
          <t xml:space="preserve">home occupant </t>
        </is>
      </c>
      <c r="B1745">
        <f>VLOOKUP(2554,Requirements!A2:B2967,2,FALSE)</f>
        <v/>
      </c>
    </row>
    <row r="1746">
      <c r="A1746" t="inlineStr">
        <is>
          <t xml:space="preserve">home occupant </t>
        </is>
      </c>
      <c r="B1746">
        <f>VLOOKUP(2555,Requirements!A2:B2967,2,FALSE)</f>
        <v/>
      </c>
    </row>
    <row r="1747">
      <c r="A1747" t="inlineStr">
        <is>
          <t xml:space="preserve">home occupant </t>
        </is>
      </c>
      <c r="B1747">
        <f>VLOOKUP(2559,Requirements!A2:B2967,2,FALSE)</f>
        <v/>
      </c>
    </row>
    <row r="1748">
      <c r="A1748" t="inlineStr">
        <is>
          <t xml:space="preserve">home occupant </t>
        </is>
      </c>
      <c r="B1748">
        <f>VLOOKUP(2560,Requirements!A2:B2967,2,FALSE)</f>
        <v/>
      </c>
    </row>
    <row r="1749">
      <c r="A1749" t="inlineStr">
        <is>
          <t xml:space="preserve">home occupant </t>
        </is>
      </c>
      <c r="B1749">
        <f>VLOOKUP(2561,Requirements!A2:B2967,2,FALSE)</f>
        <v/>
      </c>
    </row>
    <row r="1750">
      <c r="A1750" t="inlineStr">
        <is>
          <t xml:space="preserve">home occupant </t>
        </is>
      </c>
      <c r="B1750">
        <f>VLOOKUP(2562,Requirements!A2:B2967,2,FALSE)</f>
        <v/>
      </c>
    </row>
    <row r="1751">
      <c r="A1751" t="inlineStr">
        <is>
          <t xml:space="preserve">home occupant </t>
        </is>
      </c>
      <c r="B1751">
        <f>VLOOKUP(2564,Requirements!A2:B2967,2,FALSE)</f>
        <v/>
      </c>
    </row>
    <row r="1752">
      <c r="A1752" t="inlineStr">
        <is>
          <t xml:space="preserve">home occupant </t>
        </is>
      </c>
      <c r="B1752">
        <f>VLOOKUP(2567,Requirements!A2:B2967,2,FALSE)</f>
        <v/>
      </c>
    </row>
    <row r="1753">
      <c r="A1753" t="inlineStr">
        <is>
          <t xml:space="preserve">home occupant </t>
        </is>
      </c>
      <c r="B1753">
        <f>VLOOKUP(2575,Requirements!A2:B2967,2,FALSE)</f>
        <v/>
      </c>
    </row>
    <row r="1754">
      <c r="A1754" t="inlineStr">
        <is>
          <t xml:space="preserve">home occupant </t>
        </is>
      </c>
      <c r="B1754">
        <f>VLOOKUP(2577,Requirements!A2:B2967,2,FALSE)</f>
        <v/>
      </c>
    </row>
    <row r="1755">
      <c r="A1755" t="inlineStr">
        <is>
          <t xml:space="preserve">home occupant </t>
        </is>
      </c>
      <c r="B1755">
        <f>VLOOKUP(2580,Requirements!A2:B2967,2,FALSE)</f>
        <v/>
      </c>
    </row>
    <row r="1756">
      <c r="A1756" t="inlineStr">
        <is>
          <t xml:space="preserve">home occupant </t>
        </is>
      </c>
      <c r="B1756">
        <f>VLOOKUP(2581,Requirements!A2:B2967,2,FALSE)</f>
        <v/>
      </c>
    </row>
    <row r="1757">
      <c r="A1757" t="inlineStr">
        <is>
          <t xml:space="preserve">home occupant </t>
        </is>
      </c>
      <c r="B1757">
        <f>VLOOKUP(2585,Requirements!A2:B2967,2,FALSE)</f>
        <v/>
      </c>
    </row>
    <row r="1758">
      <c r="A1758" t="inlineStr">
        <is>
          <t xml:space="preserve">home occupant </t>
        </is>
      </c>
      <c r="B1758">
        <f>VLOOKUP(2586,Requirements!A2:B2967,2,FALSE)</f>
        <v/>
      </c>
    </row>
    <row r="1759">
      <c r="A1759" t="inlineStr">
        <is>
          <t xml:space="preserve">home occupant </t>
        </is>
      </c>
      <c r="B1759">
        <f>VLOOKUP(2587,Requirements!A2:B2967,2,FALSE)</f>
        <v/>
      </c>
    </row>
    <row r="1760">
      <c r="A1760" t="inlineStr">
        <is>
          <t xml:space="preserve">home occupant </t>
        </is>
      </c>
      <c r="B1760">
        <f>VLOOKUP(2588,Requirements!A2:B2967,2,FALSE)</f>
        <v/>
      </c>
    </row>
    <row r="1761">
      <c r="A1761" t="inlineStr">
        <is>
          <t xml:space="preserve">home occupant </t>
        </is>
      </c>
      <c r="B1761">
        <f>VLOOKUP(2589,Requirements!A2:B2967,2,FALSE)</f>
        <v/>
      </c>
    </row>
    <row r="1762">
      <c r="A1762" t="inlineStr">
        <is>
          <t xml:space="preserve">home occupant </t>
        </is>
      </c>
      <c r="B1762">
        <f>VLOOKUP(2590,Requirements!A2:B2967,2,FALSE)</f>
        <v/>
      </c>
    </row>
    <row r="1763">
      <c r="A1763" t="inlineStr">
        <is>
          <t xml:space="preserve">home occupant </t>
        </is>
      </c>
      <c r="B1763">
        <f>VLOOKUP(2591,Requirements!A2:B2967,2,FALSE)</f>
        <v/>
      </c>
    </row>
    <row r="1764">
      <c r="A1764" t="inlineStr">
        <is>
          <t xml:space="preserve">home occupant </t>
        </is>
      </c>
      <c r="B1764">
        <f>VLOOKUP(2592,Requirements!A2:B2967,2,FALSE)</f>
        <v/>
      </c>
    </row>
    <row r="1765">
      <c r="A1765" t="inlineStr">
        <is>
          <t xml:space="preserve">home occupant </t>
        </is>
      </c>
      <c r="B1765">
        <f>VLOOKUP(2593,Requirements!A2:B2967,2,FALSE)</f>
        <v/>
      </c>
    </row>
    <row r="1766">
      <c r="A1766" t="inlineStr">
        <is>
          <t xml:space="preserve">home occupant </t>
        </is>
      </c>
      <c r="B1766">
        <f>VLOOKUP(2594,Requirements!A2:B2967,2,FALSE)</f>
        <v/>
      </c>
    </row>
    <row r="1767">
      <c r="A1767" t="inlineStr">
        <is>
          <t xml:space="preserve">home occupant </t>
        </is>
      </c>
      <c r="B1767">
        <f>VLOOKUP(2605,Requirements!A2:B2967,2,FALSE)</f>
        <v/>
      </c>
    </row>
    <row r="1768">
      <c r="A1768" t="inlineStr">
        <is>
          <t xml:space="preserve">home occupant </t>
        </is>
      </c>
      <c r="B1768">
        <f>VLOOKUP(2607,Requirements!A2:B2967,2,FALSE)</f>
        <v/>
      </c>
    </row>
    <row r="1769">
      <c r="A1769" t="inlineStr">
        <is>
          <t xml:space="preserve">home occupant </t>
        </is>
      </c>
      <c r="B1769">
        <f>VLOOKUP(2608,Requirements!A2:B2967,2,FALSE)</f>
        <v/>
      </c>
    </row>
    <row r="1770">
      <c r="A1770" t="inlineStr">
        <is>
          <t xml:space="preserve">home occupant </t>
        </is>
      </c>
      <c r="B1770">
        <f>VLOOKUP(2612,Requirements!A2:B2967,2,FALSE)</f>
        <v/>
      </c>
    </row>
    <row r="1771">
      <c r="A1771" t="inlineStr">
        <is>
          <t xml:space="preserve">home occupant </t>
        </is>
      </c>
      <c r="B1771">
        <f>VLOOKUP(2613,Requirements!A2:B2967,2,FALSE)</f>
        <v/>
      </c>
    </row>
    <row r="1772">
      <c r="A1772" t="inlineStr">
        <is>
          <t xml:space="preserve">home occupant </t>
        </is>
      </c>
      <c r="B1772">
        <f>VLOOKUP(2627,Requirements!A2:B2967,2,FALSE)</f>
        <v/>
      </c>
    </row>
    <row r="1773">
      <c r="A1773" t="inlineStr">
        <is>
          <t xml:space="preserve">home occupant </t>
        </is>
      </c>
      <c r="B1773">
        <f>VLOOKUP(2632,Requirements!A2:B2967,2,FALSE)</f>
        <v/>
      </c>
    </row>
    <row r="1774">
      <c r="A1774" t="inlineStr">
        <is>
          <t xml:space="preserve">home occupant </t>
        </is>
      </c>
      <c r="B1774">
        <f>VLOOKUP(2643,Requirements!A2:B2967,2,FALSE)</f>
        <v/>
      </c>
    </row>
    <row r="1775">
      <c r="A1775" t="inlineStr">
        <is>
          <t xml:space="preserve">home occupant </t>
        </is>
      </c>
      <c r="B1775">
        <f>VLOOKUP(2662,Requirements!A2:B2967,2,FALSE)</f>
        <v/>
      </c>
    </row>
    <row r="1776">
      <c r="A1776" t="inlineStr">
        <is>
          <t xml:space="preserve">home occupant </t>
        </is>
      </c>
      <c r="B1776">
        <f>VLOOKUP(2663,Requirements!A2:B2967,2,FALSE)</f>
        <v/>
      </c>
    </row>
    <row r="1777">
      <c r="A1777" t="inlineStr">
        <is>
          <t xml:space="preserve">home occupant </t>
        </is>
      </c>
      <c r="B1777">
        <f>VLOOKUP(2668,Requirements!A2:B2967,2,FALSE)</f>
        <v/>
      </c>
    </row>
    <row r="1778">
      <c r="A1778" t="inlineStr">
        <is>
          <t xml:space="preserve">home occupant </t>
        </is>
      </c>
      <c r="B1778">
        <f>VLOOKUP(2669,Requirements!A2:B2967,2,FALSE)</f>
        <v/>
      </c>
    </row>
    <row r="1779">
      <c r="A1779" t="inlineStr">
        <is>
          <t xml:space="preserve">home occupant </t>
        </is>
      </c>
      <c r="B1779">
        <f>VLOOKUP(2672,Requirements!A2:B2967,2,FALSE)</f>
        <v/>
      </c>
    </row>
    <row r="1780">
      <c r="A1780" t="inlineStr">
        <is>
          <t xml:space="preserve">home occupant </t>
        </is>
      </c>
      <c r="B1780">
        <f>VLOOKUP(2675,Requirements!A2:B2967,2,FALSE)</f>
        <v/>
      </c>
    </row>
    <row r="1781">
      <c r="A1781" t="inlineStr">
        <is>
          <t xml:space="preserve">home occupant </t>
        </is>
      </c>
      <c r="B1781">
        <f>VLOOKUP(2682,Requirements!A2:B2967,2,FALSE)</f>
        <v/>
      </c>
    </row>
    <row r="1782">
      <c r="A1782" t="inlineStr">
        <is>
          <t xml:space="preserve">home occupant </t>
        </is>
      </c>
      <c r="B1782">
        <f>VLOOKUP(2684,Requirements!A2:B2967,2,FALSE)</f>
        <v/>
      </c>
    </row>
    <row r="1783">
      <c r="A1783" t="inlineStr">
        <is>
          <t xml:space="preserve">home occupant </t>
        </is>
      </c>
      <c r="B1783">
        <f>VLOOKUP(2685,Requirements!A2:B2967,2,FALSE)</f>
        <v/>
      </c>
    </row>
    <row r="1784">
      <c r="A1784" t="inlineStr">
        <is>
          <t xml:space="preserve">home occupant </t>
        </is>
      </c>
      <c r="B1784">
        <f>VLOOKUP(2691,Requirements!A2:B2967,2,FALSE)</f>
        <v/>
      </c>
    </row>
    <row r="1785">
      <c r="A1785" t="inlineStr">
        <is>
          <t xml:space="preserve">home occupant </t>
        </is>
      </c>
      <c r="B1785">
        <f>VLOOKUP(2695,Requirements!A2:B2967,2,FALSE)</f>
        <v/>
      </c>
    </row>
    <row r="1786">
      <c r="A1786" t="inlineStr">
        <is>
          <t xml:space="preserve">home occupant </t>
        </is>
      </c>
      <c r="B1786">
        <f>VLOOKUP(2696,Requirements!A2:B2967,2,FALSE)</f>
        <v/>
      </c>
    </row>
    <row r="1787">
      <c r="A1787" t="inlineStr">
        <is>
          <t xml:space="preserve">home occupant </t>
        </is>
      </c>
      <c r="B1787">
        <f>VLOOKUP(2697,Requirements!A2:B2967,2,FALSE)</f>
        <v/>
      </c>
    </row>
    <row r="1788">
      <c r="A1788" t="inlineStr">
        <is>
          <t xml:space="preserve">home occupant </t>
        </is>
      </c>
      <c r="B1788">
        <f>VLOOKUP(2704,Requirements!A2:B2967,2,FALSE)</f>
        <v/>
      </c>
    </row>
    <row r="1789">
      <c r="A1789" t="inlineStr">
        <is>
          <t xml:space="preserve">home occupant </t>
        </is>
      </c>
      <c r="B1789">
        <f>VLOOKUP(2705,Requirements!A2:B2967,2,FALSE)</f>
        <v/>
      </c>
    </row>
    <row r="1790">
      <c r="A1790" t="inlineStr">
        <is>
          <t xml:space="preserve">home occupant </t>
        </is>
      </c>
      <c r="B1790">
        <f>VLOOKUP(2706,Requirements!A2:B2967,2,FALSE)</f>
        <v/>
      </c>
    </row>
    <row r="1791">
      <c r="A1791" t="inlineStr">
        <is>
          <t xml:space="preserve">home occupant </t>
        </is>
      </c>
      <c r="B1791">
        <f>VLOOKUP(2710,Requirements!A2:B2967,2,FALSE)</f>
        <v/>
      </c>
    </row>
    <row r="1792">
      <c r="A1792" t="inlineStr">
        <is>
          <t xml:space="preserve">home occupant </t>
        </is>
      </c>
      <c r="B1792">
        <f>VLOOKUP(2711,Requirements!A2:B2967,2,FALSE)</f>
        <v/>
      </c>
    </row>
    <row r="1793">
      <c r="A1793" t="inlineStr">
        <is>
          <t xml:space="preserve">home occupant </t>
        </is>
      </c>
      <c r="B1793">
        <f>VLOOKUP(2712,Requirements!A2:B2967,2,FALSE)</f>
        <v/>
      </c>
    </row>
    <row r="1794">
      <c r="A1794" t="inlineStr">
        <is>
          <t xml:space="preserve">home occupant </t>
        </is>
      </c>
      <c r="B1794">
        <f>VLOOKUP(2714,Requirements!A2:B2967,2,FALSE)</f>
        <v/>
      </c>
    </row>
    <row r="1795">
      <c r="A1795" t="inlineStr">
        <is>
          <t xml:space="preserve">home occupant </t>
        </is>
      </c>
      <c r="B1795">
        <f>VLOOKUP(2715,Requirements!A2:B2967,2,FALSE)</f>
        <v/>
      </c>
    </row>
    <row r="1796">
      <c r="A1796" t="inlineStr">
        <is>
          <t xml:space="preserve">home occupant </t>
        </is>
      </c>
      <c r="B1796">
        <f>VLOOKUP(2716,Requirements!A2:B2967,2,FALSE)</f>
        <v/>
      </c>
    </row>
    <row r="1797">
      <c r="A1797" t="inlineStr">
        <is>
          <t xml:space="preserve">home occupant </t>
        </is>
      </c>
      <c r="B1797">
        <f>VLOOKUP(2717,Requirements!A2:B2967,2,FALSE)</f>
        <v/>
      </c>
    </row>
    <row r="1798">
      <c r="A1798" t="inlineStr">
        <is>
          <t xml:space="preserve">home occupant </t>
        </is>
      </c>
      <c r="B1798">
        <f>VLOOKUP(2719,Requirements!A2:B2967,2,FALSE)</f>
        <v/>
      </c>
    </row>
    <row r="1799">
      <c r="A1799" t="inlineStr">
        <is>
          <t xml:space="preserve">home occupant </t>
        </is>
      </c>
      <c r="B1799">
        <f>VLOOKUP(2720,Requirements!A2:B2967,2,FALSE)</f>
        <v/>
      </c>
    </row>
    <row r="1800">
      <c r="A1800" t="inlineStr">
        <is>
          <t xml:space="preserve">home occupant </t>
        </is>
      </c>
      <c r="B1800">
        <f>VLOOKUP(2721,Requirements!A2:B2967,2,FALSE)</f>
        <v/>
      </c>
    </row>
    <row r="1801">
      <c r="A1801" t="inlineStr">
        <is>
          <t xml:space="preserve">home occupant </t>
        </is>
      </c>
      <c r="B1801">
        <f>VLOOKUP(2724,Requirements!A2:B2967,2,FALSE)</f>
        <v/>
      </c>
    </row>
    <row r="1802">
      <c r="A1802" t="inlineStr">
        <is>
          <t xml:space="preserve">home occupant </t>
        </is>
      </c>
      <c r="B1802">
        <f>VLOOKUP(2725,Requirements!A2:B2967,2,FALSE)</f>
        <v/>
      </c>
    </row>
    <row r="1803">
      <c r="A1803" t="inlineStr">
        <is>
          <t xml:space="preserve">home occupant </t>
        </is>
      </c>
      <c r="B1803">
        <f>VLOOKUP(2726,Requirements!A2:B2967,2,FALSE)</f>
        <v/>
      </c>
    </row>
    <row r="1804">
      <c r="A1804" t="inlineStr">
        <is>
          <t xml:space="preserve">home occupant </t>
        </is>
      </c>
      <c r="B1804">
        <f>VLOOKUP(2727,Requirements!A2:B2967,2,FALSE)</f>
        <v/>
      </c>
    </row>
    <row r="1805">
      <c r="A1805" t="inlineStr">
        <is>
          <t xml:space="preserve">home occupant </t>
        </is>
      </c>
      <c r="B1805">
        <f>VLOOKUP(2729,Requirements!A2:B2967,2,FALSE)</f>
        <v/>
      </c>
    </row>
    <row r="1806">
      <c r="A1806" t="inlineStr">
        <is>
          <t xml:space="preserve">home occupant </t>
        </is>
      </c>
      <c r="B1806">
        <f>VLOOKUP(2731,Requirements!A2:B2967,2,FALSE)</f>
        <v/>
      </c>
    </row>
    <row r="1807">
      <c r="A1807" t="inlineStr">
        <is>
          <t xml:space="preserve">home occupant </t>
        </is>
      </c>
      <c r="B1807">
        <f>VLOOKUP(2733,Requirements!A2:B2967,2,FALSE)</f>
        <v/>
      </c>
    </row>
    <row r="1808">
      <c r="A1808" t="inlineStr">
        <is>
          <t xml:space="preserve">home occupant </t>
        </is>
      </c>
      <c r="B1808">
        <f>VLOOKUP(2734,Requirements!A2:B2967,2,FALSE)</f>
        <v/>
      </c>
    </row>
    <row r="1809">
      <c r="A1809" t="inlineStr">
        <is>
          <t xml:space="preserve">home occupant </t>
        </is>
      </c>
      <c r="B1809">
        <f>VLOOKUP(2735,Requirements!A2:B2967,2,FALSE)</f>
        <v/>
      </c>
    </row>
    <row r="1810">
      <c r="A1810" t="inlineStr">
        <is>
          <t xml:space="preserve">home occupant </t>
        </is>
      </c>
      <c r="B1810">
        <f>VLOOKUP(2737,Requirements!A2:B2967,2,FALSE)</f>
        <v/>
      </c>
    </row>
    <row r="1811">
      <c r="A1811" t="inlineStr">
        <is>
          <t xml:space="preserve">home occupant </t>
        </is>
      </c>
      <c r="B1811">
        <f>VLOOKUP(2738,Requirements!A2:B2967,2,FALSE)</f>
        <v/>
      </c>
    </row>
    <row r="1812">
      <c r="A1812" t="inlineStr">
        <is>
          <t xml:space="preserve">home occupant </t>
        </is>
      </c>
      <c r="B1812">
        <f>VLOOKUP(2739,Requirements!A2:B2967,2,FALSE)</f>
        <v/>
      </c>
    </row>
    <row r="1813">
      <c r="A1813" t="inlineStr">
        <is>
          <t xml:space="preserve">home occupant </t>
        </is>
      </c>
      <c r="B1813">
        <f>VLOOKUP(2740,Requirements!A2:B2967,2,FALSE)</f>
        <v/>
      </c>
    </row>
    <row r="1814">
      <c r="A1814" t="inlineStr">
        <is>
          <t xml:space="preserve">home occupant </t>
        </is>
      </c>
      <c r="B1814">
        <f>VLOOKUP(2744,Requirements!A2:B2967,2,FALSE)</f>
        <v/>
      </c>
    </row>
    <row r="1815">
      <c r="A1815" t="inlineStr">
        <is>
          <t xml:space="preserve">home occupant </t>
        </is>
      </c>
      <c r="B1815">
        <f>VLOOKUP(2745,Requirements!A2:B2967,2,FALSE)</f>
        <v/>
      </c>
    </row>
    <row r="1816">
      <c r="A1816" t="inlineStr">
        <is>
          <t xml:space="preserve">home occupant </t>
        </is>
      </c>
      <c r="B1816">
        <f>VLOOKUP(2746,Requirements!A2:B2967,2,FALSE)</f>
        <v/>
      </c>
    </row>
    <row r="1817">
      <c r="A1817" t="inlineStr">
        <is>
          <t xml:space="preserve">home occupant </t>
        </is>
      </c>
      <c r="B1817">
        <f>VLOOKUP(2747,Requirements!A2:B2967,2,FALSE)</f>
        <v/>
      </c>
    </row>
    <row r="1818">
      <c r="A1818" t="inlineStr">
        <is>
          <t xml:space="preserve">home occupant </t>
        </is>
      </c>
      <c r="B1818">
        <f>VLOOKUP(2748,Requirements!A2:B2967,2,FALSE)</f>
        <v/>
      </c>
    </row>
    <row r="1819">
      <c r="A1819" t="inlineStr">
        <is>
          <t xml:space="preserve">home occupant </t>
        </is>
      </c>
      <c r="B1819">
        <f>VLOOKUP(2749,Requirements!A2:B2967,2,FALSE)</f>
        <v/>
      </c>
    </row>
    <row r="1820">
      <c r="A1820" t="inlineStr">
        <is>
          <t xml:space="preserve">home occupant </t>
        </is>
      </c>
      <c r="B1820">
        <f>VLOOKUP(2751,Requirements!A2:B2967,2,FALSE)</f>
        <v/>
      </c>
    </row>
    <row r="1821">
      <c r="A1821" t="inlineStr">
        <is>
          <t xml:space="preserve">home occupant </t>
        </is>
      </c>
      <c r="B1821">
        <f>VLOOKUP(2753,Requirements!A2:B2967,2,FALSE)</f>
        <v/>
      </c>
    </row>
    <row r="1822">
      <c r="A1822" t="inlineStr">
        <is>
          <t xml:space="preserve">home occupant </t>
        </is>
      </c>
      <c r="B1822">
        <f>VLOOKUP(2754,Requirements!A2:B2967,2,FALSE)</f>
        <v/>
      </c>
    </row>
    <row r="1823">
      <c r="A1823" t="inlineStr">
        <is>
          <t xml:space="preserve">home occupant </t>
        </is>
      </c>
      <c r="B1823">
        <f>VLOOKUP(2755,Requirements!A2:B2967,2,FALSE)</f>
        <v/>
      </c>
    </row>
    <row r="1824">
      <c r="A1824" t="inlineStr">
        <is>
          <t xml:space="preserve">home occupant </t>
        </is>
      </c>
      <c r="B1824">
        <f>VLOOKUP(2756,Requirements!A2:B2967,2,FALSE)</f>
        <v/>
      </c>
    </row>
    <row r="1825">
      <c r="A1825" t="inlineStr">
        <is>
          <t xml:space="preserve">home occupant </t>
        </is>
      </c>
      <c r="B1825">
        <f>VLOOKUP(2757,Requirements!A2:B2967,2,FALSE)</f>
        <v/>
      </c>
    </row>
    <row r="1826">
      <c r="A1826" t="inlineStr">
        <is>
          <t xml:space="preserve">home occupant </t>
        </is>
      </c>
      <c r="B1826">
        <f>VLOOKUP(2759,Requirements!A2:B2967,2,FALSE)</f>
        <v/>
      </c>
    </row>
    <row r="1827">
      <c r="A1827" t="inlineStr">
        <is>
          <t xml:space="preserve">home occupant </t>
        </is>
      </c>
      <c r="B1827">
        <f>VLOOKUP(2761,Requirements!A2:B2967,2,FALSE)</f>
        <v/>
      </c>
    </row>
    <row r="1828">
      <c r="A1828" t="inlineStr">
        <is>
          <t xml:space="preserve">home occupant </t>
        </is>
      </c>
      <c r="B1828">
        <f>VLOOKUP(2762,Requirements!A2:B2967,2,FALSE)</f>
        <v/>
      </c>
    </row>
    <row r="1829">
      <c r="A1829" t="inlineStr">
        <is>
          <t xml:space="preserve">home occupant </t>
        </is>
      </c>
      <c r="B1829">
        <f>VLOOKUP(2763,Requirements!A2:B2967,2,FALSE)</f>
        <v/>
      </c>
    </row>
    <row r="1830">
      <c r="A1830" t="inlineStr">
        <is>
          <t xml:space="preserve">home occupant </t>
        </is>
      </c>
      <c r="B1830">
        <f>VLOOKUP(2764,Requirements!A2:B2967,2,FALSE)</f>
        <v/>
      </c>
    </row>
    <row r="1831">
      <c r="A1831" t="inlineStr">
        <is>
          <t xml:space="preserve">home occupant </t>
        </is>
      </c>
      <c r="B1831">
        <f>VLOOKUP(2766,Requirements!A2:B2967,2,FALSE)</f>
        <v/>
      </c>
    </row>
    <row r="1832">
      <c r="A1832" t="inlineStr">
        <is>
          <t xml:space="preserve">home occupant </t>
        </is>
      </c>
      <c r="B1832">
        <f>VLOOKUP(2768,Requirements!A2:B2967,2,FALSE)</f>
        <v/>
      </c>
    </row>
    <row r="1833">
      <c r="A1833" t="inlineStr">
        <is>
          <t xml:space="preserve">home occupant </t>
        </is>
      </c>
      <c r="B1833">
        <f>VLOOKUP(2769,Requirements!A2:B2967,2,FALSE)</f>
        <v/>
      </c>
    </row>
    <row r="1834">
      <c r="A1834" t="inlineStr">
        <is>
          <t xml:space="preserve">home occupant </t>
        </is>
      </c>
      <c r="B1834">
        <f>VLOOKUP(2775,Requirements!A2:B2967,2,FALSE)</f>
        <v/>
      </c>
    </row>
    <row r="1835">
      <c r="A1835" t="inlineStr">
        <is>
          <t xml:space="preserve">home occupant </t>
        </is>
      </c>
      <c r="B1835">
        <f>VLOOKUP(2776,Requirements!A2:B2967,2,FALSE)</f>
        <v/>
      </c>
    </row>
    <row r="1836">
      <c r="A1836" t="inlineStr">
        <is>
          <t xml:space="preserve">home occupant </t>
        </is>
      </c>
      <c r="B1836">
        <f>VLOOKUP(2777,Requirements!A2:B2967,2,FALSE)</f>
        <v/>
      </c>
    </row>
    <row r="1837">
      <c r="A1837" t="inlineStr">
        <is>
          <t xml:space="preserve">home occupant </t>
        </is>
      </c>
      <c r="B1837">
        <f>VLOOKUP(2783,Requirements!A2:B2967,2,FALSE)</f>
        <v/>
      </c>
    </row>
    <row r="1838">
      <c r="A1838" t="inlineStr">
        <is>
          <t xml:space="preserve">home occupant </t>
        </is>
      </c>
      <c r="B1838">
        <f>VLOOKUP(2785,Requirements!A2:B2967,2,FALSE)</f>
        <v/>
      </c>
    </row>
    <row r="1839">
      <c r="A1839" t="inlineStr">
        <is>
          <t xml:space="preserve">home occupant </t>
        </is>
      </c>
      <c r="B1839">
        <f>VLOOKUP(2787,Requirements!A2:B2967,2,FALSE)</f>
        <v/>
      </c>
    </row>
    <row r="1840">
      <c r="A1840" t="inlineStr">
        <is>
          <t xml:space="preserve">home occupant </t>
        </is>
      </c>
      <c r="B1840">
        <f>VLOOKUP(2788,Requirements!A2:B2967,2,FALSE)</f>
        <v/>
      </c>
    </row>
    <row r="1841">
      <c r="A1841" t="inlineStr">
        <is>
          <t xml:space="preserve">home occupant </t>
        </is>
      </c>
      <c r="B1841">
        <f>VLOOKUP(2789,Requirements!A2:B2967,2,FALSE)</f>
        <v/>
      </c>
    </row>
    <row r="1842">
      <c r="A1842" t="inlineStr">
        <is>
          <t xml:space="preserve">home occupant </t>
        </is>
      </c>
      <c r="B1842">
        <f>VLOOKUP(2790,Requirements!A2:B2967,2,FALSE)</f>
        <v/>
      </c>
    </row>
    <row r="1843">
      <c r="A1843" t="inlineStr">
        <is>
          <t xml:space="preserve">home occupant </t>
        </is>
      </c>
      <c r="B1843">
        <f>VLOOKUP(2792,Requirements!A2:B2967,2,FALSE)</f>
        <v/>
      </c>
    </row>
    <row r="1844">
      <c r="A1844" t="inlineStr">
        <is>
          <t xml:space="preserve">home occupant </t>
        </is>
      </c>
      <c r="B1844">
        <f>VLOOKUP(2793,Requirements!A2:B2967,2,FALSE)</f>
        <v/>
      </c>
    </row>
    <row r="1845">
      <c r="A1845" t="inlineStr">
        <is>
          <t xml:space="preserve">home occupant </t>
        </is>
      </c>
      <c r="B1845">
        <f>VLOOKUP(2794,Requirements!A2:B2967,2,FALSE)</f>
        <v/>
      </c>
    </row>
    <row r="1846">
      <c r="A1846" t="inlineStr">
        <is>
          <t xml:space="preserve">home occupant </t>
        </is>
      </c>
      <c r="B1846">
        <f>VLOOKUP(2795,Requirements!A2:B2967,2,FALSE)</f>
        <v/>
      </c>
    </row>
    <row r="1847">
      <c r="A1847" t="inlineStr">
        <is>
          <t xml:space="preserve">home occupant </t>
        </is>
      </c>
      <c r="B1847">
        <f>VLOOKUP(2797,Requirements!A2:B2967,2,FALSE)</f>
        <v/>
      </c>
    </row>
    <row r="1848">
      <c r="A1848" t="inlineStr">
        <is>
          <t xml:space="preserve">home occupant </t>
        </is>
      </c>
      <c r="B1848">
        <f>VLOOKUP(2802,Requirements!A2:B2967,2,FALSE)</f>
        <v/>
      </c>
    </row>
    <row r="1849">
      <c r="A1849" t="inlineStr">
        <is>
          <t xml:space="preserve">home occupant </t>
        </is>
      </c>
      <c r="B1849">
        <f>VLOOKUP(2803,Requirements!A2:B2967,2,FALSE)</f>
        <v/>
      </c>
    </row>
    <row r="1850">
      <c r="A1850" t="inlineStr">
        <is>
          <t xml:space="preserve">home occupant </t>
        </is>
      </c>
      <c r="B1850">
        <f>VLOOKUP(2808,Requirements!A2:B2967,2,FALSE)</f>
        <v/>
      </c>
    </row>
    <row r="1851">
      <c r="A1851" t="inlineStr">
        <is>
          <t xml:space="preserve">home occupant </t>
        </is>
      </c>
      <c r="B1851">
        <f>VLOOKUP(2829,Requirements!A2:B2967,2,FALSE)</f>
        <v/>
      </c>
    </row>
    <row r="1852">
      <c r="A1852" t="inlineStr">
        <is>
          <t xml:space="preserve">home occupant </t>
        </is>
      </c>
      <c r="B1852">
        <f>VLOOKUP(2832,Requirements!A2:B2967,2,FALSE)</f>
        <v/>
      </c>
    </row>
    <row r="1853">
      <c r="A1853" t="inlineStr">
        <is>
          <t xml:space="preserve">home occupant </t>
        </is>
      </c>
      <c r="B1853">
        <f>VLOOKUP(2834,Requirements!A2:B2967,2,FALSE)</f>
        <v/>
      </c>
    </row>
    <row r="1854">
      <c r="A1854" t="inlineStr">
        <is>
          <t xml:space="preserve">home occupant </t>
        </is>
      </c>
      <c r="B1854">
        <f>VLOOKUP(2836,Requirements!A2:B2967,2,FALSE)</f>
        <v/>
      </c>
    </row>
    <row r="1855">
      <c r="A1855" t="inlineStr">
        <is>
          <t xml:space="preserve">home occupant </t>
        </is>
      </c>
      <c r="B1855">
        <f>VLOOKUP(2837,Requirements!A2:B2967,2,FALSE)</f>
        <v/>
      </c>
    </row>
    <row r="1856">
      <c r="A1856" t="inlineStr">
        <is>
          <t xml:space="preserve">home occupant </t>
        </is>
      </c>
      <c r="B1856">
        <f>VLOOKUP(2838,Requirements!A2:B2967,2,FALSE)</f>
        <v/>
      </c>
    </row>
    <row r="1857">
      <c r="A1857" t="inlineStr">
        <is>
          <t xml:space="preserve">home occupant </t>
        </is>
      </c>
      <c r="B1857">
        <f>VLOOKUP(2841,Requirements!A2:B2967,2,FALSE)</f>
        <v/>
      </c>
    </row>
    <row r="1858">
      <c r="A1858" t="inlineStr">
        <is>
          <t xml:space="preserve">home occupant </t>
        </is>
      </c>
      <c r="B1858">
        <f>VLOOKUP(2844,Requirements!A2:B2967,2,FALSE)</f>
        <v/>
      </c>
    </row>
    <row r="1859">
      <c r="A1859" t="inlineStr">
        <is>
          <t xml:space="preserve">home occupant </t>
        </is>
      </c>
      <c r="B1859">
        <f>VLOOKUP(2846,Requirements!A2:B2967,2,FALSE)</f>
        <v/>
      </c>
    </row>
    <row r="1860">
      <c r="A1860" t="inlineStr">
        <is>
          <t xml:space="preserve">home occupant </t>
        </is>
      </c>
      <c r="B1860">
        <f>VLOOKUP(2849,Requirements!A2:B2967,2,FALSE)</f>
        <v/>
      </c>
    </row>
    <row r="1861">
      <c r="A1861" t="inlineStr">
        <is>
          <t xml:space="preserve">home occupant </t>
        </is>
      </c>
      <c r="B1861">
        <f>VLOOKUP(2850,Requirements!A2:B2967,2,FALSE)</f>
        <v/>
      </c>
    </row>
    <row r="1862">
      <c r="A1862" t="inlineStr">
        <is>
          <t xml:space="preserve">home occupant </t>
        </is>
      </c>
      <c r="B1862">
        <f>VLOOKUP(2852,Requirements!A2:B2967,2,FALSE)</f>
        <v/>
      </c>
    </row>
    <row r="1863">
      <c r="A1863" t="inlineStr">
        <is>
          <t xml:space="preserve">home occupant </t>
        </is>
      </c>
      <c r="B1863">
        <f>VLOOKUP(2857,Requirements!A2:B2967,2,FALSE)</f>
        <v/>
      </c>
    </row>
    <row r="1864">
      <c r="A1864" t="inlineStr">
        <is>
          <t xml:space="preserve">home occupant </t>
        </is>
      </c>
      <c r="B1864">
        <f>VLOOKUP(2862,Requirements!A2:B2967,2,FALSE)</f>
        <v/>
      </c>
    </row>
    <row r="1865">
      <c r="A1865" t="inlineStr">
        <is>
          <t xml:space="preserve">home occupant </t>
        </is>
      </c>
      <c r="B1865">
        <f>VLOOKUP(2864,Requirements!A2:B2967,2,FALSE)</f>
        <v/>
      </c>
    </row>
    <row r="1866">
      <c r="A1866" t="inlineStr">
        <is>
          <t xml:space="preserve">home occupant </t>
        </is>
      </c>
      <c r="B1866">
        <f>VLOOKUP(2865,Requirements!A2:B2967,2,FALSE)</f>
        <v/>
      </c>
    </row>
    <row r="1867">
      <c r="A1867" t="inlineStr">
        <is>
          <t xml:space="preserve">home occupant </t>
        </is>
      </c>
      <c r="B1867">
        <f>VLOOKUP(2869,Requirements!A2:B2967,2,FALSE)</f>
        <v/>
      </c>
    </row>
    <row r="1868">
      <c r="A1868" t="inlineStr">
        <is>
          <t xml:space="preserve">home occupant </t>
        </is>
      </c>
      <c r="B1868">
        <f>VLOOKUP(2871,Requirements!A2:B2967,2,FALSE)</f>
        <v/>
      </c>
    </row>
    <row r="1869">
      <c r="A1869" t="inlineStr">
        <is>
          <t xml:space="preserve">home occupant </t>
        </is>
      </c>
      <c r="B1869">
        <f>VLOOKUP(2874,Requirements!A2:B2967,2,FALSE)</f>
        <v/>
      </c>
    </row>
    <row r="1870">
      <c r="A1870" t="inlineStr">
        <is>
          <t xml:space="preserve">home occupant </t>
        </is>
      </c>
      <c r="B1870">
        <f>VLOOKUP(2876,Requirements!A2:B2967,2,FALSE)</f>
        <v/>
      </c>
    </row>
    <row r="1871">
      <c r="A1871" t="inlineStr">
        <is>
          <t xml:space="preserve">home occupant </t>
        </is>
      </c>
      <c r="B1871">
        <f>VLOOKUP(2881,Requirements!A2:B2967,2,FALSE)</f>
        <v/>
      </c>
    </row>
    <row r="1872">
      <c r="A1872" t="inlineStr">
        <is>
          <t xml:space="preserve">home occupant </t>
        </is>
      </c>
      <c r="B1872">
        <f>VLOOKUP(2882,Requirements!A2:B2967,2,FALSE)</f>
        <v/>
      </c>
    </row>
    <row r="1873">
      <c r="A1873" t="inlineStr">
        <is>
          <t xml:space="preserve">home occupant </t>
        </is>
      </c>
      <c r="B1873">
        <f>VLOOKUP(2886,Requirements!A2:B2967,2,FALSE)</f>
        <v/>
      </c>
    </row>
    <row r="1874">
      <c r="A1874" t="inlineStr">
        <is>
          <t xml:space="preserve">home occupant </t>
        </is>
      </c>
      <c r="B1874">
        <f>VLOOKUP(2887,Requirements!A2:B2967,2,FALSE)</f>
        <v/>
      </c>
    </row>
    <row r="1875">
      <c r="A1875" t="inlineStr">
        <is>
          <t xml:space="preserve">home occupant </t>
        </is>
      </c>
      <c r="B1875">
        <f>VLOOKUP(2888,Requirements!A2:B2967,2,FALSE)</f>
        <v/>
      </c>
    </row>
    <row r="1876">
      <c r="A1876" t="inlineStr">
        <is>
          <t xml:space="preserve">home occupant </t>
        </is>
      </c>
      <c r="B1876">
        <f>VLOOKUP(2891,Requirements!A2:B2967,2,FALSE)</f>
        <v/>
      </c>
    </row>
    <row r="1877">
      <c r="A1877" t="inlineStr">
        <is>
          <t xml:space="preserve">home occupant </t>
        </is>
      </c>
      <c r="B1877">
        <f>VLOOKUP(2894,Requirements!A2:B2967,2,FALSE)</f>
        <v/>
      </c>
    </row>
    <row r="1878">
      <c r="A1878" t="inlineStr">
        <is>
          <t xml:space="preserve">home occupant </t>
        </is>
      </c>
      <c r="B1878">
        <f>VLOOKUP(2895,Requirements!A2:B2967,2,FALSE)</f>
        <v/>
      </c>
    </row>
    <row r="1879">
      <c r="A1879" t="inlineStr">
        <is>
          <t xml:space="preserve">home occupant </t>
        </is>
      </c>
      <c r="B1879">
        <f>VLOOKUP(2897,Requirements!A2:B2967,2,FALSE)</f>
        <v/>
      </c>
    </row>
    <row r="1880">
      <c r="A1880" t="inlineStr">
        <is>
          <t xml:space="preserve">home occupant </t>
        </is>
      </c>
      <c r="B1880">
        <f>VLOOKUP(2898,Requirements!A2:B2967,2,FALSE)</f>
        <v/>
      </c>
    </row>
    <row r="1881">
      <c r="A1881" t="inlineStr">
        <is>
          <t xml:space="preserve">home occupant </t>
        </is>
      </c>
      <c r="B1881">
        <f>VLOOKUP(2899,Requirements!A2:B2967,2,FALSE)</f>
        <v/>
      </c>
    </row>
    <row r="1882">
      <c r="A1882" t="inlineStr">
        <is>
          <t xml:space="preserve">home occupant </t>
        </is>
      </c>
      <c r="B1882">
        <f>VLOOKUP(2901,Requirements!A2:B2967,2,FALSE)</f>
        <v/>
      </c>
    </row>
    <row r="1883">
      <c r="A1883" t="inlineStr">
        <is>
          <t xml:space="preserve">home occupant </t>
        </is>
      </c>
      <c r="B1883">
        <f>VLOOKUP(2903,Requirements!A2:B2967,2,FALSE)</f>
        <v/>
      </c>
    </row>
    <row r="1884">
      <c r="A1884" t="inlineStr">
        <is>
          <t xml:space="preserve">home occupant </t>
        </is>
      </c>
      <c r="B1884">
        <f>VLOOKUP(2905,Requirements!A2:B2967,2,FALSE)</f>
        <v/>
      </c>
    </row>
    <row r="1885">
      <c r="A1885" t="inlineStr">
        <is>
          <t xml:space="preserve">home occupant </t>
        </is>
      </c>
      <c r="B1885">
        <f>VLOOKUP(2906,Requirements!A2:B2967,2,FALSE)</f>
        <v/>
      </c>
    </row>
    <row r="1886">
      <c r="A1886" t="inlineStr">
        <is>
          <t xml:space="preserve">home occupant </t>
        </is>
      </c>
      <c r="B1886">
        <f>VLOOKUP(2907,Requirements!A2:B2967,2,FALSE)</f>
        <v/>
      </c>
    </row>
    <row r="1887">
      <c r="A1887" t="inlineStr">
        <is>
          <t xml:space="preserve">home occupant </t>
        </is>
      </c>
      <c r="B1887">
        <f>VLOOKUP(2908,Requirements!A2:B2967,2,FALSE)</f>
        <v/>
      </c>
    </row>
    <row r="1888">
      <c r="A1888" t="inlineStr">
        <is>
          <t xml:space="preserve">home occupant </t>
        </is>
      </c>
      <c r="B1888">
        <f>VLOOKUP(2910,Requirements!A2:B2967,2,FALSE)</f>
        <v/>
      </c>
    </row>
    <row r="1889">
      <c r="A1889" t="inlineStr">
        <is>
          <t xml:space="preserve">home occupant </t>
        </is>
      </c>
      <c r="B1889">
        <f>VLOOKUP(2913,Requirements!A2:B2967,2,FALSE)</f>
        <v/>
      </c>
    </row>
    <row r="1890">
      <c r="A1890" t="inlineStr">
        <is>
          <t xml:space="preserve">home occupant </t>
        </is>
      </c>
      <c r="B1890">
        <f>VLOOKUP(2914,Requirements!A2:B2967,2,FALSE)</f>
        <v/>
      </c>
    </row>
    <row r="1891">
      <c r="A1891" t="inlineStr">
        <is>
          <t xml:space="preserve">home occupant </t>
        </is>
      </c>
      <c r="B1891">
        <f>VLOOKUP(2915,Requirements!A2:B2967,2,FALSE)</f>
        <v/>
      </c>
    </row>
    <row r="1892">
      <c r="A1892" t="inlineStr">
        <is>
          <t xml:space="preserve">home occupant </t>
        </is>
      </c>
      <c r="B1892">
        <f>VLOOKUP(2919,Requirements!A2:B2967,2,FALSE)</f>
        <v/>
      </c>
    </row>
    <row r="1893">
      <c r="A1893" t="inlineStr">
        <is>
          <t xml:space="preserve">home occupant </t>
        </is>
      </c>
      <c r="B1893">
        <f>VLOOKUP(2921,Requirements!A2:B2967,2,FALSE)</f>
        <v/>
      </c>
    </row>
    <row r="1894">
      <c r="A1894" t="inlineStr">
        <is>
          <t xml:space="preserve">home occupant </t>
        </is>
      </c>
      <c r="B1894">
        <f>VLOOKUP(2924,Requirements!A2:B2967,2,FALSE)</f>
        <v/>
      </c>
    </row>
    <row r="1895">
      <c r="A1895" t="inlineStr">
        <is>
          <t xml:space="preserve">home occupant </t>
        </is>
      </c>
      <c r="B1895">
        <f>VLOOKUP(2925,Requirements!A2:B2967,2,FALSE)</f>
        <v/>
      </c>
    </row>
    <row r="1896">
      <c r="A1896" t="inlineStr">
        <is>
          <t xml:space="preserve">home occupant </t>
        </is>
      </c>
      <c r="B1896">
        <f>VLOOKUP(2926,Requirements!A2:B2967,2,FALSE)</f>
        <v/>
      </c>
    </row>
    <row r="1897">
      <c r="A1897" t="inlineStr">
        <is>
          <t xml:space="preserve">home occupant </t>
        </is>
      </c>
      <c r="B1897">
        <f>VLOOKUP(2927,Requirements!A2:B2967,2,FALSE)</f>
        <v/>
      </c>
    </row>
    <row r="1898">
      <c r="A1898" t="inlineStr">
        <is>
          <t xml:space="preserve">home occupant </t>
        </is>
      </c>
      <c r="B1898">
        <f>VLOOKUP(2930,Requirements!A2:B2967,2,FALSE)</f>
        <v/>
      </c>
    </row>
    <row r="1899">
      <c r="A1899" t="inlineStr">
        <is>
          <t xml:space="preserve">home occupant </t>
        </is>
      </c>
      <c r="B1899">
        <f>VLOOKUP(2931,Requirements!A2:B2967,2,FALSE)</f>
        <v/>
      </c>
    </row>
    <row r="1900">
      <c r="A1900" t="inlineStr">
        <is>
          <t xml:space="preserve">home occupant </t>
        </is>
      </c>
      <c r="B1900">
        <f>VLOOKUP(2932,Requirements!A2:B2967,2,FALSE)</f>
        <v/>
      </c>
    </row>
    <row r="1901">
      <c r="A1901" t="inlineStr">
        <is>
          <t xml:space="preserve">home occupant </t>
        </is>
      </c>
      <c r="B1901">
        <f>VLOOKUP(2933,Requirements!A2:B2967,2,FALSE)</f>
        <v/>
      </c>
    </row>
    <row r="1902">
      <c r="A1902" t="inlineStr">
        <is>
          <t xml:space="preserve">home occupant </t>
        </is>
      </c>
      <c r="B1902">
        <f>VLOOKUP(2934,Requirements!A2:B2967,2,FALSE)</f>
        <v/>
      </c>
    </row>
    <row r="1903">
      <c r="A1903" t="inlineStr">
        <is>
          <t xml:space="preserve">home occupant </t>
        </is>
      </c>
      <c r="B1903">
        <f>VLOOKUP(2939,Requirements!A2:B2967,2,FALSE)</f>
        <v/>
      </c>
    </row>
    <row r="1904">
      <c r="A1904" t="inlineStr">
        <is>
          <t xml:space="preserve">home occupant </t>
        </is>
      </c>
      <c r="B1904">
        <f>VLOOKUP(2940,Requirements!A2:B2967,2,FALSE)</f>
        <v/>
      </c>
    </row>
    <row r="1905">
      <c r="A1905" t="inlineStr">
        <is>
          <t xml:space="preserve">home occupant </t>
        </is>
      </c>
      <c r="B1905">
        <f>VLOOKUP(2943,Requirements!A2:B2967,2,FALSE)</f>
        <v/>
      </c>
    </row>
    <row r="1906">
      <c r="A1906" t="inlineStr">
        <is>
          <t xml:space="preserve">home occupant </t>
        </is>
      </c>
      <c r="B1906">
        <f>VLOOKUP(2950,Requirements!A2:B2967,2,FALSE)</f>
        <v/>
      </c>
    </row>
    <row r="1907">
      <c r="A1907" t="inlineStr">
        <is>
          <t xml:space="preserve">home occupant </t>
        </is>
      </c>
      <c r="B1907">
        <f>VLOOKUP(2951,Requirements!A2:B2967,2,FALSE)</f>
        <v/>
      </c>
    </row>
    <row r="1908">
      <c r="A1908" t="inlineStr">
        <is>
          <t xml:space="preserve">home occupant </t>
        </is>
      </c>
      <c r="B1908">
        <f>VLOOKUP(2954,Requirements!A2:B2967,2,FALSE)</f>
        <v/>
      </c>
    </row>
    <row r="1909">
      <c r="A1909" t="inlineStr">
        <is>
          <t xml:space="preserve">home occupant </t>
        </is>
      </c>
      <c r="B1909">
        <f>VLOOKUP(2959,Requirements!A2:B2967,2,FALSE)</f>
        <v/>
      </c>
    </row>
    <row r="1910">
      <c r="A1910" t="inlineStr">
        <is>
          <t xml:space="preserve">home occupant </t>
        </is>
      </c>
      <c r="B1910">
        <f>VLOOKUP(2960,Requirements!A2:B2967,2,FALSE)</f>
        <v/>
      </c>
    </row>
    <row r="1911">
      <c r="A1911" t="inlineStr">
        <is>
          <t xml:space="preserve">home occupant </t>
        </is>
      </c>
      <c r="B1911">
        <f>VLOOKUP(2962,Requirements!A2:B2967,2,FALSE)</f>
        <v/>
      </c>
    </row>
    <row r="1912">
      <c r="A1912" t="inlineStr">
        <is>
          <t xml:space="preserve">home occupant </t>
        </is>
      </c>
      <c r="B1912">
        <f>VLOOKUP(2963,Requirements!A2:B2967,2,FALSE)</f>
        <v/>
      </c>
    </row>
    <row r="1913">
      <c r="A1913" t="inlineStr">
        <is>
          <t xml:space="preserve">home occupant </t>
        </is>
      </c>
      <c r="B1913">
        <f>VLOOKUP(2968,Requirements!A2:B2967,2,FALSE)</f>
        <v/>
      </c>
    </row>
    <row r="1914">
      <c r="A1914" t="inlineStr">
        <is>
          <t xml:space="preserve">home occupant </t>
        </is>
      </c>
      <c r="B1914">
        <f>VLOOKUP(2969,Requirements!A2:B2967,2,FALSE)</f>
        <v/>
      </c>
    </row>
    <row r="1915">
      <c r="A1915" t="inlineStr">
        <is>
          <t xml:space="preserve">home occupant </t>
        </is>
      </c>
      <c r="B1915">
        <f>VLOOKUP(2970,Requirements!A2:B2967,2,FALSE)</f>
        <v/>
      </c>
    </row>
    <row r="1916">
      <c r="A1916" t="inlineStr">
        <is>
          <t xml:space="preserve">home occupant </t>
        </is>
      </c>
      <c r="B1916">
        <f>VLOOKUP(2971,Requirements!A2:B2967,2,FALSE)</f>
        <v/>
      </c>
    </row>
    <row r="1917">
      <c r="A1917" t="inlineStr">
        <is>
          <t xml:space="preserve">home occupant </t>
        </is>
      </c>
      <c r="B1917">
        <f>VLOOKUP(2973,Requirements!A2:B2967,2,FALSE)</f>
        <v/>
      </c>
    </row>
    <row r="1918">
      <c r="A1918" t="inlineStr">
        <is>
          <t xml:space="preserve">home occupant </t>
        </is>
      </c>
      <c r="B1918">
        <f>VLOOKUP(2975,Requirements!A2:B2967,2,FALSE)</f>
        <v/>
      </c>
    </row>
    <row r="1919">
      <c r="A1919" t="inlineStr">
        <is>
          <t xml:space="preserve">home occupant </t>
        </is>
      </c>
      <c r="B1919">
        <f>VLOOKUP(2976,Requirements!A2:B2967,2,FALSE)</f>
        <v/>
      </c>
    </row>
    <row r="1920">
      <c r="A1920" t="inlineStr">
        <is>
          <t xml:space="preserve">home occupant </t>
        </is>
      </c>
      <c r="B1920">
        <f>VLOOKUP(2977,Requirements!A2:B2967,2,FALSE)</f>
        <v/>
      </c>
    </row>
    <row r="1921">
      <c r="A1921" t="inlineStr">
        <is>
          <t xml:space="preserve">home occupant </t>
        </is>
      </c>
      <c r="B1921">
        <f>VLOOKUP(2978,Requirements!A2:B2967,2,FALSE)</f>
        <v/>
      </c>
    </row>
    <row r="1922">
      <c r="A1922" t="inlineStr">
        <is>
          <t xml:space="preserve">home occupant </t>
        </is>
      </c>
      <c r="B1922">
        <f>VLOOKUP(2979,Requirements!A2:B2967,2,FALSE)</f>
        <v/>
      </c>
    </row>
    <row r="1923">
      <c r="A1923" t="inlineStr">
        <is>
          <t xml:space="preserve">home occupant </t>
        </is>
      </c>
      <c r="B1923">
        <f>VLOOKUP(2980,Requirements!A2:B2967,2,FALSE)</f>
        <v/>
      </c>
    </row>
    <row r="1924">
      <c r="A1924" t="inlineStr">
        <is>
          <t xml:space="preserve">home occupant </t>
        </is>
      </c>
      <c r="B1924">
        <f>VLOOKUP(2981,Requirements!A2:B2967,2,FALSE)</f>
        <v/>
      </c>
    </row>
    <row r="1925">
      <c r="A1925" t="inlineStr">
        <is>
          <t xml:space="preserve">home occupant </t>
        </is>
      </c>
      <c r="B1925">
        <f>VLOOKUP(2982,Requirements!A2:B2967,2,FALSE)</f>
        <v/>
      </c>
    </row>
    <row r="1926">
      <c r="A1926" t="inlineStr">
        <is>
          <t xml:space="preserve">home occupant </t>
        </is>
      </c>
      <c r="B1926">
        <f>VLOOKUP(2983,Requirements!A2:B2967,2,FALSE)</f>
        <v/>
      </c>
    </row>
    <row r="1927">
      <c r="A1927" t="inlineStr">
        <is>
          <t xml:space="preserve">home occupant </t>
        </is>
      </c>
      <c r="B1927">
        <f>VLOOKUP(2987,Requirements!A2:B2967,2,FALSE)</f>
        <v/>
      </c>
    </row>
    <row r="1928">
      <c r="A1928" t="inlineStr">
        <is>
          <t xml:space="preserve">home occupant </t>
        </is>
      </c>
      <c r="B1928">
        <f>VLOOKUP(2988,Requirements!A2:B2967,2,FALSE)</f>
        <v/>
      </c>
    </row>
    <row r="1929">
      <c r="A1929" t="inlineStr">
        <is>
          <t xml:space="preserve">home occupant </t>
        </is>
      </c>
      <c r="B1929">
        <f>VLOOKUP(2989,Requirements!A2:B2967,2,FALSE)</f>
        <v/>
      </c>
    </row>
    <row r="1930">
      <c r="A1930" t="inlineStr">
        <is>
          <t xml:space="preserve">home occupant </t>
        </is>
      </c>
      <c r="B1930">
        <f>VLOOKUP(2995,Requirements!A2:B2967,2,FALSE)</f>
        <v/>
      </c>
    </row>
    <row r="1931">
      <c r="A1931" t="inlineStr">
        <is>
          <t xml:space="preserve">home occupant </t>
        </is>
      </c>
      <c r="B1931">
        <f>VLOOKUP(2996,Requirements!A2:B2967,2,FALSE)</f>
        <v/>
      </c>
    </row>
    <row r="1932">
      <c r="A1932" t="inlineStr">
        <is>
          <t xml:space="preserve">home occupant </t>
        </is>
      </c>
      <c r="B1932">
        <f>VLOOKUP(2998,Requirements!A2:B2967,2,FALSE)</f>
        <v/>
      </c>
    </row>
    <row r="1933">
      <c r="A1933" t="inlineStr">
        <is>
          <t xml:space="preserve">home occupant </t>
        </is>
      </c>
      <c r="B1933">
        <f>VLOOKUP(3000,Requirements!A2:B2967,2,FALSE)</f>
        <v/>
      </c>
    </row>
    <row r="1934">
      <c r="A1934" t="inlineStr">
        <is>
          <t xml:space="preserve">home occupant </t>
        </is>
      </c>
      <c r="B1934">
        <f>VLOOKUP(3001,Requirements!A2:B2967,2,FALSE)</f>
        <v/>
      </c>
    </row>
    <row r="1935">
      <c r="A1935" t="inlineStr">
        <is>
          <t xml:space="preserve">home occupant </t>
        </is>
      </c>
      <c r="B1935">
        <f>VLOOKUP(3002,Requirements!A2:B2967,2,FALSE)</f>
        <v/>
      </c>
    </row>
    <row r="1936">
      <c r="A1936" t="inlineStr">
        <is>
          <t xml:space="preserve">home occupant </t>
        </is>
      </c>
      <c r="B1936">
        <f>VLOOKUP(3003,Requirements!A2:B2967,2,FALSE)</f>
        <v/>
      </c>
    </row>
    <row r="1937">
      <c r="A1937" t="inlineStr">
        <is>
          <t xml:space="preserve">home occupant </t>
        </is>
      </c>
      <c r="B1937">
        <f>VLOOKUP(3004,Requirements!A2:B2967,2,FALSE)</f>
        <v/>
      </c>
    </row>
    <row r="1938">
      <c r="A1938" t="inlineStr">
        <is>
          <t xml:space="preserve">home occupant </t>
        </is>
      </c>
      <c r="B1938">
        <f>VLOOKUP(3006,Requirements!A2:B2967,2,FALSE)</f>
        <v/>
      </c>
    </row>
    <row r="1939">
      <c r="A1939" t="inlineStr">
        <is>
          <t xml:space="preserve">home occupant </t>
        </is>
      </c>
      <c r="B1939">
        <f>VLOOKUP(3013,Requirements!A2:B2967,2,FALSE)</f>
        <v/>
      </c>
    </row>
    <row r="1940">
      <c r="A1940" t="inlineStr">
        <is>
          <t xml:space="preserve">home occupant </t>
        </is>
      </c>
      <c r="B1940">
        <f>VLOOKUP(3030,Requirements!A2:B2967,2,FALSE)</f>
        <v/>
      </c>
    </row>
    <row r="1941">
      <c r="A1941" t="inlineStr">
        <is>
          <t xml:space="preserve">home occupant </t>
        </is>
      </c>
      <c r="B1941">
        <f>VLOOKUP(3031,Requirements!A2:B2967,2,FALSE)</f>
        <v/>
      </c>
    </row>
    <row r="1942">
      <c r="A1942" t="inlineStr">
        <is>
          <t xml:space="preserve">home occupant </t>
        </is>
      </c>
      <c r="B1942">
        <f>VLOOKUP(3032,Requirements!A2:B2967,2,FALSE)</f>
        <v/>
      </c>
    </row>
    <row r="1943">
      <c r="A1943" t="inlineStr">
        <is>
          <t xml:space="preserve">home occupant </t>
        </is>
      </c>
      <c r="B1943">
        <f>VLOOKUP(3033,Requirements!A2:B2967,2,FALSE)</f>
        <v/>
      </c>
    </row>
    <row r="1944">
      <c r="A1944" t="inlineStr">
        <is>
          <t xml:space="preserve">home occupant </t>
        </is>
      </c>
      <c r="B1944">
        <f>VLOOKUP(3034,Requirements!A2:B2967,2,FALSE)</f>
        <v/>
      </c>
    </row>
    <row r="1945">
      <c r="A1945" t="inlineStr">
        <is>
          <t xml:space="preserve">home occupant </t>
        </is>
      </c>
      <c r="B1945">
        <f>VLOOKUP(3035,Requirements!A2:B2967,2,FALSE)</f>
        <v/>
      </c>
    </row>
    <row r="1946">
      <c r="A1946" t="inlineStr">
        <is>
          <t xml:space="preserve">home occupant </t>
        </is>
      </c>
      <c r="B1946">
        <f>VLOOKUP(3036,Requirements!A2:B2967,2,FALSE)</f>
        <v/>
      </c>
    </row>
    <row r="1947">
      <c r="A1947" t="inlineStr">
        <is>
          <t xml:space="preserve">home occupant </t>
        </is>
      </c>
      <c r="B1947">
        <f>VLOOKUP(3037,Requirements!A2:B2967,2,FALSE)</f>
        <v/>
      </c>
    </row>
    <row r="1948">
      <c r="A1948" t="inlineStr">
        <is>
          <t xml:space="preserve">home occupant </t>
        </is>
      </c>
      <c r="B1948">
        <f>VLOOKUP(3038,Requirements!A2:B2967,2,FALSE)</f>
        <v/>
      </c>
    </row>
    <row r="1949">
      <c r="A1949" t="inlineStr">
        <is>
          <t xml:space="preserve">home occupant </t>
        </is>
      </c>
      <c r="B1949">
        <f>VLOOKUP(3039,Requirements!A2:B2967,2,FALSE)</f>
        <v/>
      </c>
    </row>
    <row r="1950">
      <c r="A1950" t="inlineStr">
        <is>
          <t xml:space="preserve">home occupant </t>
        </is>
      </c>
      <c r="B1950">
        <f>VLOOKUP(3044,Requirements!A2:B2967,2,FALSE)</f>
        <v/>
      </c>
    </row>
    <row r="1951">
      <c r="A1951" t="inlineStr">
        <is>
          <t xml:space="preserve">home occupant </t>
        </is>
      </c>
      <c r="B1951">
        <f>VLOOKUP(3045,Requirements!A2:B2967,2,FALSE)</f>
        <v/>
      </c>
    </row>
    <row r="1952">
      <c r="A1952" t="inlineStr">
        <is>
          <t xml:space="preserve">home occupant </t>
        </is>
      </c>
      <c r="B1952">
        <f>VLOOKUP(3046,Requirements!A2:B2967,2,FALSE)</f>
        <v/>
      </c>
    </row>
    <row r="1953">
      <c r="A1953" t="inlineStr">
        <is>
          <t xml:space="preserve">home occupant </t>
        </is>
      </c>
      <c r="B1953">
        <f>VLOOKUP(3049,Requirements!A2:B2967,2,FALSE)</f>
        <v/>
      </c>
    </row>
    <row r="1954">
      <c r="A1954" t="inlineStr">
        <is>
          <t xml:space="preserve">home occupant </t>
        </is>
      </c>
      <c r="B1954">
        <f>VLOOKUP(3050,Requirements!A2:B2967,2,FALSE)</f>
        <v/>
      </c>
    </row>
    <row r="1955">
      <c r="A1955" t="inlineStr">
        <is>
          <t xml:space="preserve">home occupant </t>
        </is>
      </c>
      <c r="B1955">
        <f>VLOOKUP(3051,Requirements!A2:B2967,2,FALSE)</f>
        <v/>
      </c>
    </row>
    <row r="1956">
      <c r="A1956" t="inlineStr">
        <is>
          <t xml:space="preserve">home occupant </t>
        </is>
      </c>
      <c r="B1956">
        <f>VLOOKUP(3053,Requirements!A2:B2967,2,FALSE)</f>
        <v/>
      </c>
    </row>
    <row r="1957">
      <c r="A1957" t="inlineStr">
        <is>
          <t xml:space="preserve">home occupant </t>
        </is>
      </c>
      <c r="B1957">
        <f>VLOOKUP(3054,Requirements!A2:B2967,2,FALSE)</f>
        <v/>
      </c>
    </row>
    <row r="1958">
      <c r="A1958" t="inlineStr">
        <is>
          <t xml:space="preserve">home occupant </t>
        </is>
      </c>
      <c r="B1958">
        <f>VLOOKUP(3056,Requirements!A2:B2967,2,FALSE)</f>
        <v/>
      </c>
    </row>
    <row r="1959">
      <c r="A1959" t="inlineStr">
        <is>
          <t xml:space="preserve">home occupant </t>
        </is>
      </c>
      <c r="B1959">
        <f>VLOOKUP(3059,Requirements!A2:B2967,2,FALSE)</f>
        <v/>
      </c>
    </row>
    <row r="1960">
      <c r="A1960" t="inlineStr">
        <is>
          <t xml:space="preserve">home occupant </t>
        </is>
      </c>
      <c r="B1960">
        <f>VLOOKUP(3062,Requirements!A2:B2967,2,FALSE)</f>
        <v/>
      </c>
    </row>
    <row r="1961">
      <c r="A1961" t="inlineStr">
        <is>
          <t xml:space="preserve">home occupant </t>
        </is>
      </c>
      <c r="B1961">
        <f>VLOOKUP(3065,Requirements!A2:B2967,2,FALSE)</f>
        <v/>
      </c>
    </row>
    <row r="1962">
      <c r="A1962" t="inlineStr">
        <is>
          <t xml:space="preserve">home occupant </t>
        </is>
      </c>
      <c r="B1962">
        <f>VLOOKUP(3072,Requirements!A2:B2967,2,FALSE)</f>
        <v/>
      </c>
    </row>
    <row r="1963">
      <c r="A1963" t="inlineStr">
        <is>
          <t xml:space="preserve">home occupant </t>
        </is>
      </c>
      <c r="B1963">
        <f>VLOOKUP(3074,Requirements!A2:B2967,2,FALSE)</f>
        <v/>
      </c>
    </row>
    <row r="1964">
      <c r="A1964" t="inlineStr">
        <is>
          <t xml:space="preserve">home occupant </t>
        </is>
      </c>
      <c r="B1964">
        <f>VLOOKUP(3080,Requirements!A2:B2967,2,FALSE)</f>
        <v/>
      </c>
    </row>
    <row r="1965">
      <c r="A1965" t="inlineStr">
        <is>
          <t xml:space="preserve">home occupant </t>
        </is>
      </c>
      <c r="B1965">
        <f>VLOOKUP(3082,Requirements!A2:B2967,2,FALSE)</f>
        <v/>
      </c>
    </row>
    <row r="1966">
      <c r="A1966" t="inlineStr">
        <is>
          <t xml:space="preserve">home occupant </t>
        </is>
      </c>
      <c r="B1966">
        <f>VLOOKUP(3085,Requirements!A2:B2967,2,FALSE)</f>
        <v/>
      </c>
    </row>
    <row r="1967">
      <c r="A1967" t="inlineStr">
        <is>
          <t xml:space="preserve">home occupant </t>
        </is>
      </c>
      <c r="B1967">
        <f>VLOOKUP(3092,Requirements!A2:B2967,2,FALSE)</f>
        <v/>
      </c>
    </row>
    <row r="1968">
      <c r="A1968" t="inlineStr">
        <is>
          <t xml:space="preserve">home occupant </t>
        </is>
      </c>
      <c r="B1968">
        <f>VLOOKUP(3101,Requirements!A2:B2967,2,FALSE)</f>
        <v/>
      </c>
    </row>
    <row r="1969">
      <c r="A1969" t="inlineStr">
        <is>
          <t xml:space="preserve">home occupant </t>
        </is>
      </c>
      <c r="B1969">
        <f>VLOOKUP(3103,Requirements!A2:B2967,2,FALSE)</f>
        <v/>
      </c>
    </row>
    <row r="1970">
      <c r="A1970" t="inlineStr">
        <is>
          <t xml:space="preserve">home occupant </t>
        </is>
      </c>
      <c r="B1970">
        <f>VLOOKUP(3104,Requirements!A2:B2967,2,FALSE)</f>
        <v/>
      </c>
    </row>
    <row r="1971">
      <c r="A1971" t="inlineStr">
        <is>
          <t xml:space="preserve">home occupant </t>
        </is>
      </c>
      <c r="B1971">
        <f>VLOOKUP(3107,Requirements!A2:B2967,2,FALSE)</f>
        <v/>
      </c>
    </row>
    <row r="1972">
      <c r="A1972" t="inlineStr">
        <is>
          <t xml:space="preserve">home occupant </t>
        </is>
      </c>
      <c r="B1972">
        <f>VLOOKUP(3108,Requirements!A2:B2967,2,FALSE)</f>
        <v/>
      </c>
    </row>
    <row r="1973">
      <c r="A1973" t="inlineStr">
        <is>
          <t xml:space="preserve">home occupant </t>
        </is>
      </c>
      <c r="B1973">
        <f>VLOOKUP(3109,Requirements!A2:B2967,2,FALSE)</f>
        <v/>
      </c>
    </row>
    <row r="1974">
      <c r="A1974" t="inlineStr">
        <is>
          <t xml:space="preserve">home occupant </t>
        </is>
      </c>
      <c r="B1974">
        <f>VLOOKUP(3116,Requirements!A2:B2967,2,FALSE)</f>
        <v/>
      </c>
    </row>
    <row r="1975">
      <c r="A1975" t="inlineStr">
        <is>
          <t xml:space="preserve">home occupant </t>
        </is>
      </c>
      <c r="B1975">
        <f>VLOOKUP(3117,Requirements!A2:B2967,2,FALSE)</f>
        <v/>
      </c>
    </row>
    <row r="1976">
      <c r="A1976" t="inlineStr">
        <is>
          <t xml:space="preserve">home occupant </t>
        </is>
      </c>
      <c r="B1976">
        <f>VLOOKUP(3119,Requirements!A2:B2967,2,FALSE)</f>
        <v/>
      </c>
    </row>
    <row r="1977">
      <c r="A1977" t="inlineStr">
        <is>
          <t xml:space="preserve">home occupant </t>
        </is>
      </c>
      <c r="B1977">
        <f>VLOOKUP(3122,Requirements!A2:B2967,2,FALSE)</f>
        <v/>
      </c>
    </row>
    <row r="1978">
      <c r="A1978" t="inlineStr">
        <is>
          <t xml:space="preserve">home occupant </t>
        </is>
      </c>
      <c r="B1978">
        <f>VLOOKUP(3127,Requirements!A2:B2967,2,FALSE)</f>
        <v/>
      </c>
    </row>
    <row r="1979">
      <c r="A1979" t="inlineStr">
        <is>
          <t xml:space="preserve">home occupant </t>
        </is>
      </c>
      <c r="B1979">
        <f>VLOOKUP(3132,Requirements!A2:B2967,2,FALSE)</f>
        <v/>
      </c>
    </row>
    <row r="1980">
      <c r="A1980" t="inlineStr">
        <is>
          <t xml:space="preserve">home occupant </t>
        </is>
      </c>
      <c r="B1980">
        <f>VLOOKUP(3134,Requirements!A2:B2967,2,FALSE)</f>
        <v/>
      </c>
    </row>
    <row r="1981">
      <c r="A1981" t="inlineStr">
        <is>
          <t xml:space="preserve">home occupant </t>
        </is>
      </c>
      <c r="B1981">
        <f>VLOOKUP(3136,Requirements!A2:B2967,2,FALSE)</f>
        <v/>
      </c>
    </row>
    <row r="1982">
      <c r="A1982" t="inlineStr">
        <is>
          <t xml:space="preserve">home occupant </t>
        </is>
      </c>
      <c r="B1982">
        <f>VLOOKUP(3137,Requirements!A2:B2967,2,FALSE)</f>
        <v/>
      </c>
    </row>
    <row r="1983">
      <c r="A1983" t="inlineStr">
        <is>
          <t xml:space="preserve">home occupant </t>
        </is>
      </c>
      <c r="B1983">
        <f>VLOOKUP(3138,Requirements!A2:B2967,2,FALSE)</f>
        <v/>
      </c>
    </row>
    <row r="1984">
      <c r="A1984" t="inlineStr">
        <is>
          <t xml:space="preserve">home occupant </t>
        </is>
      </c>
      <c r="B1984">
        <f>VLOOKUP(3139,Requirements!A2:B2967,2,FALSE)</f>
        <v/>
      </c>
    </row>
    <row r="1985">
      <c r="A1985" t="inlineStr">
        <is>
          <t xml:space="preserve">home occupant </t>
        </is>
      </c>
      <c r="B1985">
        <f>VLOOKUP(3141,Requirements!A2:B2967,2,FALSE)</f>
        <v/>
      </c>
    </row>
    <row r="1986">
      <c r="A1986" t="inlineStr">
        <is>
          <t xml:space="preserve">home occupant </t>
        </is>
      </c>
      <c r="B1986">
        <f>VLOOKUP(3142,Requirements!A2:B2967,2,FALSE)</f>
        <v/>
      </c>
    </row>
    <row r="1987">
      <c r="A1987" t="inlineStr">
        <is>
          <t xml:space="preserve">home occupant </t>
        </is>
      </c>
      <c r="B1987">
        <f>VLOOKUP(3143,Requirements!A2:B2967,2,FALSE)</f>
        <v/>
      </c>
    </row>
    <row r="1988">
      <c r="A1988" t="inlineStr">
        <is>
          <t xml:space="preserve">home occupant </t>
        </is>
      </c>
      <c r="B1988">
        <f>VLOOKUP(3145,Requirements!A2:B2967,2,FALSE)</f>
        <v/>
      </c>
    </row>
    <row r="1989">
      <c r="A1989" t="inlineStr">
        <is>
          <t xml:space="preserve">home occupant </t>
        </is>
      </c>
      <c r="B1989">
        <f>VLOOKUP(3151,Requirements!A2:B2967,2,FALSE)</f>
        <v/>
      </c>
    </row>
    <row r="1990">
      <c r="A1990" t="inlineStr">
        <is>
          <t xml:space="preserve">home occupant </t>
        </is>
      </c>
      <c r="B1990">
        <f>VLOOKUP(3153,Requirements!A2:B2967,2,FALSE)</f>
        <v/>
      </c>
    </row>
    <row r="1991">
      <c r="A1991" t="inlineStr">
        <is>
          <t xml:space="preserve">home occupant </t>
        </is>
      </c>
      <c r="B1991">
        <f>VLOOKUP(3155,Requirements!A2:B2967,2,FALSE)</f>
        <v/>
      </c>
    </row>
    <row r="1992">
      <c r="A1992" t="inlineStr">
        <is>
          <t xml:space="preserve">home occupant </t>
        </is>
      </c>
      <c r="B1992">
        <f>VLOOKUP(3159,Requirements!A2:B2967,2,FALSE)</f>
        <v/>
      </c>
    </row>
    <row r="1993">
      <c r="A1993" t="inlineStr">
        <is>
          <t xml:space="preserve">home occupant </t>
        </is>
      </c>
      <c r="B1993">
        <f>VLOOKUP(3160,Requirements!A2:B2967,2,FALSE)</f>
        <v/>
      </c>
    </row>
    <row r="1994">
      <c r="A1994" t="inlineStr">
        <is>
          <t xml:space="preserve">home occupant </t>
        </is>
      </c>
      <c r="B1994">
        <f>VLOOKUP(3163,Requirements!A2:B2967,2,FALSE)</f>
        <v/>
      </c>
    </row>
    <row r="1995">
      <c r="A1995" t="inlineStr">
        <is>
          <t xml:space="preserve">home occupant </t>
        </is>
      </c>
      <c r="B1995">
        <f>VLOOKUP(3169,Requirements!A2:B2967,2,FALSE)</f>
        <v/>
      </c>
    </row>
    <row r="1996">
      <c r="A1996" t="inlineStr">
        <is>
          <t xml:space="preserve">home occupant </t>
        </is>
      </c>
      <c r="B1996">
        <f>VLOOKUP(3170,Requirements!A2:B2967,2,FALSE)</f>
        <v/>
      </c>
    </row>
    <row r="1997">
      <c r="A1997" t="inlineStr">
        <is>
          <t xml:space="preserve">home occupant </t>
        </is>
      </c>
      <c r="B1997">
        <f>VLOOKUP(3172,Requirements!A2:B2967,2,FALSE)</f>
        <v/>
      </c>
    </row>
    <row r="1998">
      <c r="A1998" t="inlineStr">
        <is>
          <t xml:space="preserve">home occupant </t>
        </is>
      </c>
      <c r="B1998">
        <f>VLOOKUP(3173,Requirements!A2:B2967,2,FALSE)</f>
        <v/>
      </c>
    </row>
    <row r="1999">
      <c r="A1999" t="inlineStr">
        <is>
          <t xml:space="preserve">home occupant </t>
        </is>
      </c>
      <c r="B1999">
        <f>VLOOKUP(3176,Requirements!A2:B2967,2,FALSE)</f>
        <v/>
      </c>
    </row>
    <row r="2000">
      <c r="A2000" t="inlineStr">
        <is>
          <t xml:space="preserve">home occupant </t>
        </is>
      </c>
      <c r="B2000">
        <f>VLOOKUP(3178,Requirements!A2:B2967,2,FALSE)</f>
        <v/>
      </c>
    </row>
    <row r="2001">
      <c r="A2001" t="inlineStr">
        <is>
          <t xml:space="preserve">home occupant </t>
        </is>
      </c>
      <c r="B2001">
        <f>VLOOKUP(3182,Requirements!A2:B2967,2,FALSE)</f>
        <v/>
      </c>
    </row>
    <row r="2002">
      <c r="A2002" t="inlineStr">
        <is>
          <t xml:space="preserve">home occupant </t>
        </is>
      </c>
      <c r="B2002">
        <f>VLOOKUP(3184,Requirements!A2:B2967,2,FALSE)</f>
        <v/>
      </c>
    </row>
    <row r="2003">
      <c r="A2003" t="inlineStr">
        <is>
          <t xml:space="preserve">home occupant </t>
        </is>
      </c>
      <c r="B2003">
        <f>VLOOKUP(3191,Requirements!A2:B2967,2,FALSE)</f>
        <v/>
      </c>
    </row>
    <row r="2004">
      <c r="A2004" t="inlineStr">
        <is>
          <t xml:space="preserve">home occupant </t>
        </is>
      </c>
      <c r="B2004">
        <f>VLOOKUP(3196,Requirements!A2:B2967,2,FALSE)</f>
        <v/>
      </c>
    </row>
    <row r="2005">
      <c r="A2005" t="inlineStr">
        <is>
          <t xml:space="preserve">home occupant </t>
        </is>
      </c>
      <c r="B2005">
        <f>VLOOKUP(3197,Requirements!A2:B2967,2,FALSE)</f>
        <v/>
      </c>
    </row>
    <row r="2006">
      <c r="A2006" t="inlineStr">
        <is>
          <t xml:space="preserve">home occupant </t>
        </is>
      </c>
      <c r="B2006">
        <f>VLOOKUP(3198,Requirements!A2:B2967,2,FALSE)</f>
        <v/>
      </c>
    </row>
    <row r="2007">
      <c r="A2007" t="inlineStr">
        <is>
          <t xml:space="preserve">home occupant </t>
        </is>
      </c>
      <c r="B2007">
        <f>VLOOKUP(3200,Requirements!A2:B2967,2,FALSE)</f>
        <v/>
      </c>
    </row>
    <row r="2008">
      <c r="A2008" t="inlineStr">
        <is>
          <t xml:space="preserve">home occupant </t>
        </is>
      </c>
      <c r="B2008">
        <f>VLOOKUP(3202,Requirements!A2:B2967,2,FALSE)</f>
        <v/>
      </c>
    </row>
    <row r="2009">
      <c r="A2009" t="inlineStr">
        <is>
          <t xml:space="preserve">home occupant </t>
        </is>
      </c>
      <c r="B2009">
        <f>VLOOKUP(3211,Requirements!A2:B2967,2,FALSE)</f>
        <v/>
      </c>
    </row>
    <row r="2010">
      <c r="A2010" t="inlineStr">
        <is>
          <t xml:space="preserve">home occupant </t>
        </is>
      </c>
      <c r="B2010">
        <f>VLOOKUP(3212,Requirements!A2:B2967,2,FALSE)</f>
        <v/>
      </c>
    </row>
    <row r="2011">
      <c r="A2011" t="inlineStr">
        <is>
          <t xml:space="preserve">home occupant </t>
        </is>
      </c>
      <c r="B2011">
        <f>VLOOKUP(3219,Requirements!A2:B2967,2,FALSE)</f>
        <v/>
      </c>
    </row>
    <row r="2012">
      <c r="A2012" t="inlineStr">
        <is>
          <t xml:space="preserve">home occupant </t>
        </is>
      </c>
      <c r="B2012">
        <f>VLOOKUP(3222,Requirements!A2:B2967,2,FALSE)</f>
        <v/>
      </c>
    </row>
    <row r="2013">
      <c r="A2013" t="inlineStr">
        <is>
          <t xml:space="preserve">home occupant </t>
        </is>
      </c>
      <c r="B2013">
        <f>VLOOKUP(3223,Requirements!A2:B2967,2,FALSE)</f>
        <v/>
      </c>
    </row>
    <row r="2014">
      <c r="A2014" t="inlineStr">
        <is>
          <t xml:space="preserve">home occupant </t>
        </is>
      </c>
      <c r="B2014">
        <f>VLOOKUP(3226,Requirements!A2:B2967,2,FALSE)</f>
        <v/>
      </c>
    </row>
    <row r="2015">
      <c r="A2015" t="inlineStr">
        <is>
          <t xml:space="preserve">home occupant </t>
        </is>
      </c>
      <c r="B2015">
        <f>VLOOKUP(3227,Requirements!A2:B2967,2,FALSE)</f>
        <v/>
      </c>
    </row>
    <row r="2016">
      <c r="A2016" t="inlineStr">
        <is>
          <t xml:space="preserve">home occupant </t>
        </is>
      </c>
      <c r="B2016">
        <f>VLOOKUP(3229,Requirements!A2:B2967,2,FALSE)</f>
        <v/>
      </c>
    </row>
    <row r="2017">
      <c r="A2017" t="inlineStr">
        <is>
          <t xml:space="preserve">home occupant </t>
        </is>
      </c>
      <c r="B2017">
        <f>VLOOKUP(3232,Requirements!A2:B2967,2,FALSE)</f>
        <v/>
      </c>
    </row>
    <row r="2018">
      <c r="A2018" t="inlineStr">
        <is>
          <t xml:space="preserve">home occupant </t>
        </is>
      </c>
      <c r="B2018">
        <f>VLOOKUP(3237,Requirements!A2:B2967,2,FALSE)</f>
        <v/>
      </c>
    </row>
    <row r="2019">
      <c r="A2019" t="inlineStr">
        <is>
          <t xml:space="preserve">home occupant </t>
        </is>
      </c>
      <c r="B2019">
        <f>VLOOKUP(3243,Requirements!A2:B2967,2,FALSE)</f>
        <v/>
      </c>
    </row>
    <row r="2020">
      <c r="A2020" t="inlineStr">
        <is>
          <t xml:space="preserve">home occupant </t>
        </is>
      </c>
      <c r="B2020">
        <f>VLOOKUP(3244,Requirements!A2:B2967,2,FALSE)</f>
        <v/>
      </c>
    </row>
    <row r="2021">
      <c r="A2021" t="inlineStr">
        <is>
          <t xml:space="preserve">home occupant </t>
        </is>
      </c>
      <c r="B2021">
        <f>VLOOKUP(3245,Requirements!A2:B2967,2,FALSE)</f>
        <v/>
      </c>
    </row>
    <row r="2022">
      <c r="A2022" t="inlineStr">
        <is>
          <t xml:space="preserve">home occupant </t>
        </is>
      </c>
      <c r="B2022">
        <f>VLOOKUP(3248,Requirements!A2:B2967,2,FALSE)</f>
        <v/>
      </c>
    </row>
    <row r="2023">
      <c r="A2023" t="inlineStr">
        <is>
          <t xml:space="preserve">home occupant </t>
        </is>
      </c>
      <c r="B2023">
        <f>VLOOKUP(3257,Requirements!A2:B2967,2,FALSE)</f>
        <v/>
      </c>
    </row>
    <row r="2024">
      <c r="A2024" t="inlineStr">
        <is>
          <t xml:space="preserve">home occupant </t>
        </is>
      </c>
      <c r="B2024">
        <f>VLOOKUP(3259,Requirements!A2:B2967,2,FALSE)</f>
        <v/>
      </c>
    </row>
    <row r="2025">
      <c r="A2025" t="inlineStr">
        <is>
          <t xml:space="preserve">home occupant </t>
        </is>
      </c>
      <c r="B2025">
        <f>VLOOKUP(3261,Requirements!A2:B2967,2,FALSE)</f>
        <v/>
      </c>
    </row>
    <row r="2026">
      <c r="A2026" t="inlineStr">
        <is>
          <t xml:space="preserve">home occupant </t>
        </is>
      </c>
      <c r="B2026">
        <f>VLOOKUP(3263,Requirements!A2:B2967,2,FALSE)</f>
        <v/>
      </c>
    </row>
    <row r="2027">
      <c r="A2027" t="inlineStr">
        <is>
          <t xml:space="preserve">home occupant </t>
        </is>
      </c>
      <c r="B2027">
        <f>VLOOKUP(3264,Requirements!A2:B2967,2,FALSE)</f>
        <v/>
      </c>
    </row>
    <row r="2028">
      <c r="A2028" t="inlineStr">
        <is>
          <t xml:space="preserve">home occupant </t>
        </is>
      </c>
      <c r="B2028">
        <f>VLOOKUP(3266,Requirements!A2:B2967,2,FALSE)</f>
        <v/>
      </c>
    </row>
    <row r="2029">
      <c r="A2029" t="inlineStr">
        <is>
          <t xml:space="preserve">home occupant </t>
        </is>
      </c>
      <c r="B2029">
        <f>VLOOKUP(3276,Requirements!A2:B2967,2,FALSE)</f>
        <v/>
      </c>
    </row>
    <row r="2030">
      <c r="A2030" t="inlineStr">
        <is>
          <t xml:space="preserve">light </t>
        </is>
      </c>
      <c r="B2030">
        <f>VLOOKUP(12,Requirements!A2:B2967,2,FALSE)</f>
        <v/>
      </c>
    </row>
    <row r="2031">
      <c r="A2031" t="inlineStr">
        <is>
          <t xml:space="preserve">light </t>
        </is>
      </c>
      <c r="B2031">
        <f>VLOOKUP(25,Requirements!A2:B2967,2,FALSE)</f>
        <v/>
      </c>
    </row>
    <row r="2032">
      <c r="A2032" t="inlineStr">
        <is>
          <t xml:space="preserve">light </t>
        </is>
      </c>
      <c r="B2032">
        <f>VLOOKUP(34,Requirements!A2:B2967,2,FALSE)</f>
        <v/>
      </c>
    </row>
    <row r="2033">
      <c r="A2033" t="inlineStr">
        <is>
          <t xml:space="preserve">light </t>
        </is>
      </c>
      <c r="B2033">
        <f>VLOOKUP(45,Requirements!A2:B2967,2,FALSE)</f>
        <v/>
      </c>
    </row>
    <row r="2034">
      <c r="A2034" t="inlineStr">
        <is>
          <t xml:space="preserve">light </t>
        </is>
      </c>
      <c r="B2034">
        <f>VLOOKUP(147,Requirements!A2:B2967,2,FALSE)</f>
        <v/>
      </c>
    </row>
    <row r="2035">
      <c r="A2035" t="inlineStr">
        <is>
          <t xml:space="preserve">light </t>
        </is>
      </c>
      <c r="B2035">
        <f>VLOOKUP(157,Requirements!A2:B2967,2,FALSE)</f>
        <v/>
      </c>
    </row>
    <row r="2036">
      <c r="A2036" t="inlineStr">
        <is>
          <t xml:space="preserve">light </t>
        </is>
      </c>
      <c r="B2036">
        <f>VLOOKUP(167,Requirements!A2:B2967,2,FALSE)</f>
        <v/>
      </c>
    </row>
    <row r="2037">
      <c r="A2037" t="inlineStr">
        <is>
          <t xml:space="preserve">light </t>
        </is>
      </c>
      <c r="B2037">
        <f>VLOOKUP(193,Requirements!A2:B2967,2,FALSE)</f>
        <v/>
      </c>
    </row>
    <row r="2038">
      <c r="A2038" t="inlineStr">
        <is>
          <t xml:space="preserve">light </t>
        </is>
      </c>
      <c r="B2038">
        <f>VLOOKUP(206,Requirements!A2:B2967,2,FALSE)</f>
        <v/>
      </c>
    </row>
    <row r="2039">
      <c r="A2039" t="inlineStr">
        <is>
          <t xml:space="preserve">light </t>
        </is>
      </c>
      <c r="B2039">
        <f>VLOOKUP(230,Requirements!A2:B2967,2,FALSE)</f>
        <v/>
      </c>
    </row>
    <row r="2040">
      <c r="A2040" t="inlineStr">
        <is>
          <t xml:space="preserve">light </t>
        </is>
      </c>
      <c r="B2040">
        <f>VLOOKUP(256,Requirements!A2:B2967,2,FALSE)</f>
        <v/>
      </c>
    </row>
    <row r="2041">
      <c r="A2041" t="inlineStr">
        <is>
          <t xml:space="preserve">light </t>
        </is>
      </c>
      <c r="B2041">
        <f>VLOOKUP(272,Requirements!A2:B2967,2,FALSE)</f>
        <v/>
      </c>
    </row>
    <row r="2042">
      <c r="A2042" t="inlineStr">
        <is>
          <t xml:space="preserve">light </t>
        </is>
      </c>
      <c r="B2042">
        <f>VLOOKUP(283,Requirements!A2:B2967,2,FALSE)</f>
        <v/>
      </c>
    </row>
    <row r="2043">
      <c r="A2043" t="inlineStr">
        <is>
          <t xml:space="preserve">light </t>
        </is>
      </c>
      <c r="B2043">
        <f>VLOOKUP(287,Requirements!A2:B2967,2,FALSE)</f>
        <v/>
      </c>
    </row>
    <row r="2044">
      <c r="A2044" t="inlineStr">
        <is>
          <t xml:space="preserve">light </t>
        </is>
      </c>
      <c r="B2044">
        <f>VLOOKUP(297,Requirements!A2:B2967,2,FALSE)</f>
        <v/>
      </c>
    </row>
    <row r="2045">
      <c r="A2045" t="inlineStr">
        <is>
          <t xml:space="preserve">light </t>
        </is>
      </c>
      <c r="B2045">
        <f>VLOOKUP(308,Requirements!A2:B2967,2,FALSE)</f>
        <v/>
      </c>
    </row>
    <row r="2046">
      <c r="A2046" t="inlineStr">
        <is>
          <t xml:space="preserve">light </t>
        </is>
      </c>
      <c r="B2046">
        <f>VLOOKUP(311,Requirements!A2:B2967,2,FALSE)</f>
        <v/>
      </c>
    </row>
    <row r="2047">
      <c r="A2047" t="inlineStr">
        <is>
          <t xml:space="preserve">light </t>
        </is>
      </c>
      <c r="B2047">
        <f>VLOOKUP(317,Requirements!A2:B2967,2,FALSE)</f>
        <v/>
      </c>
    </row>
    <row r="2048">
      <c r="A2048" t="inlineStr">
        <is>
          <t xml:space="preserve">light </t>
        </is>
      </c>
      <c r="B2048">
        <f>VLOOKUP(323,Requirements!A2:B2967,2,FALSE)</f>
        <v/>
      </c>
    </row>
    <row r="2049">
      <c r="A2049" t="inlineStr">
        <is>
          <t xml:space="preserve">light </t>
        </is>
      </c>
      <c r="B2049">
        <f>VLOOKUP(332,Requirements!A2:B2967,2,FALSE)</f>
        <v/>
      </c>
    </row>
    <row r="2050">
      <c r="A2050" t="inlineStr">
        <is>
          <t xml:space="preserve">light </t>
        </is>
      </c>
      <c r="B2050">
        <f>VLOOKUP(334,Requirements!A2:B2967,2,FALSE)</f>
        <v/>
      </c>
    </row>
    <row r="2051">
      <c r="A2051" t="inlineStr">
        <is>
          <t xml:space="preserve">light </t>
        </is>
      </c>
      <c r="B2051">
        <f>VLOOKUP(335,Requirements!A2:B2967,2,FALSE)</f>
        <v/>
      </c>
    </row>
    <row r="2052">
      <c r="A2052" t="inlineStr">
        <is>
          <t xml:space="preserve">light </t>
        </is>
      </c>
      <c r="B2052">
        <f>VLOOKUP(336,Requirements!A2:B2967,2,FALSE)</f>
        <v/>
      </c>
    </row>
    <row r="2053">
      <c r="A2053" t="inlineStr">
        <is>
          <t xml:space="preserve">light </t>
        </is>
      </c>
      <c r="B2053">
        <f>VLOOKUP(337,Requirements!A2:B2967,2,FALSE)</f>
        <v/>
      </c>
    </row>
    <row r="2054">
      <c r="A2054" t="inlineStr">
        <is>
          <t xml:space="preserve">light </t>
        </is>
      </c>
      <c r="B2054">
        <f>VLOOKUP(348,Requirements!A2:B2967,2,FALSE)</f>
        <v/>
      </c>
    </row>
    <row r="2055">
      <c r="A2055" t="inlineStr">
        <is>
          <t xml:space="preserve">light </t>
        </is>
      </c>
      <c r="B2055">
        <f>VLOOKUP(359,Requirements!A2:B2967,2,FALSE)</f>
        <v/>
      </c>
    </row>
    <row r="2056">
      <c r="A2056" t="inlineStr">
        <is>
          <t xml:space="preserve">light </t>
        </is>
      </c>
      <c r="B2056">
        <f>VLOOKUP(361,Requirements!A2:B2967,2,FALSE)</f>
        <v/>
      </c>
    </row>
    <row r="2057">
      <c r="A2057" t="inlineStr">
        <is>
          <t xml:space="preserve">light </t>
        </is>
      </c>
      <c r="B2057">
        <f>VLOOKUP(365,Requirements!A2:B2967,2,FALSE)</f>
        <v/>
      </c>
    </row>
    <row r="2058">
      <c r="A2058" t="inlineStr">
        <is>
          <t xml:space="preserve">light </t>
        </is>
      </c>
      <c r="B2058">
        <f>VLOOKUP(412,Requirements!A2:B2967,2,FALSE)</f>
        <v/>
      </c>
    </row>
    <row r="2059">
      <c r="A2059" t="inlineStr">
        <is>
          <t xml:space="preserve">light </t>
        </is>
      </c>
      <c r="B2059">
        <f>VLOOKUP(413,Requirements!A2:B2967,2,FALSE)</f>
        <v/>
      </c>
    </row>
    <row r="2060">
      <c r="A2060" t="inlineStr">
        <is>
          <t xml:space="preserve">light </t>
        </is>
      </c>
      <c r="B2060">
        <f>VLOOKUP(419,Requirements!A2:B2967,2,FALSE)</f>
        <v/>
      </c>
    </row>
    <row r="2061">
      <c r="A2061" t="inlineStr">
        <is>
          <t xml:space="preserve">light </t>
        </is>
      </c>
      <c r="B2061">
        <f>VLOOKUP(420,Requirements!A2:B2967,2,FALSE)</f>
        <v/>
      </c>
    </row>
    <row r="2062">
      <c r="A2062" t="inlineStr">
        <is>
          <t xml:space="preserve">light </t>
        </is>
      </c>
      <c r="B2062">
        <f>VLOOKUP(467,Requirements!A2:B2967,2,FALSE)</f>
        <v/>
      </c>
    </row>
    <row r="2063">
      <c r="A2063" t="inlineStr">
        <is>
          <t xml:space="preserve">light </t>
        </is>
      </c>
      <c r="B2063">
        <f>VLOOKUP(478,Requirements!A2:B2967,2,FALSE)</f>
        <v/>
      </c>
    </row>
    <row r="2064">
      <c r="A2064" t="inlineStr">
        <is>
          <t xml:space="preserve">light </t>
        </is>
      </c>
      <c r="B2064">
        <f>VLOOKUP(491,Requirements!A2:B2967,2,FALSE)</f>
        <v/>
      </c>
    </row>
    <row r="2065">
      <c r="A2065" t="inlineStr">
        <is>
          <t xml:space="preserve">light </t>
        </is>
      </c>
      <c r="B2065">
        <f>VLOOKUP(496,Requirements!A2:B2967,2,FALSE)</f>
        <v/>
      </c>
    </row>
    <row r="2066">
      <c r="A2066" t="inlineStr">
        <is>
          <t xml:space="preserve">light </t>
        </is>
      </c>
      <c r="B2066">
        <f>VLOOKUP(497,Requirements!A2:B2967,2,FALSE)</f>
        <v/>
      </c>
    </row>
    <row r="2067">
      <c r="A2067" t="inlineStr">
        <is>
          <t xml:space="preserve">light </t>
        </is>
      </c>
      <c r="B2067">
        <f>VLOOKUP(529,Requirements!A2:B2967,2,FALSE)</f>
        <v/>
      </c>
    </row>
    <row r="2068">
      <c r="A2068" t="inlineStr">
        <is>
          <t xml:space="preserve">light </t>
        </is>
      </c>
      <c r="B2068">
        <f>VLOOKUP(535,Requirements!A2:B2967,2,FALSE)</f>
        <v/>
      </c>
    </row>
    <row r="2069">
      <c r="A2069" t="inlineStr">
        <is>
          <t xml:space="preserve">light </t>
        </is>
      </c>
      <c r="B2069">
        <f>VLOOKUP(550,Requirements!A2:B2967,2,FALSE)</f>
        <v/>
      </c>
    </row>
    <row r="2070">
      <c r="A2070" t="inlineStr">
        <is>
          <t xml:space="preserve">light </t>
        </is>
      </c>
      <c r="B2070">
        <f>VLOOKUP(558,Requirements!A2:B2967,2,FALSE)</f>
        <v/>
      </c>
    </row>
    <row r="2071">
      <c r="A2071" t="inlineStr">
        <is>
          <t xml:space="preserve">light </t>
        </is>
      </c>
      <c r="B2071">
        <f>VLOOKUP(608,Requirements!A2:B2967,2,FALSE)</f>
        <v/>
      </c>
    </row>
    <row r="2072">
      <c r="A2072" t="inlineStr">
        <is>
          <t xml:space="preserve">light </t>
        </is>
      </c>
      <c r="B2072">
        <f>VLOOKUP(643,Requirements!A2:B2967,2,FALSE)</f>
        <v/>
      </c>
    </row>
    <row r="2073">
      <c r="A2073" t="inlineStr">
        <is>
          <t xml:space="preserve">light </t>
        </is>
      </c>
      <c r="B2073">
        <f>VLOOKUP(649,Requirements!A2:B2967,2,FALSE)</f>
        <v/>
      </c>
    </row>
    <row r="2074">
      <c r="A2074" t="inlineStr">
        <is>
          <t xml:space="preserve">light </t>
        </is>
      </c>
      <c r="B2074">
        <f>VLOOKUP(680,Requirements!A2:B2967,2,FALSE)</f>
        <v/>
      </c>
    </row>
    <row r="2075">
      <c r="A2075" t="inlineStr">
        <is>
          <t xml:space="preserve">light </t>
        </is>
      </c>
      <c r="B2075">
        <f>VLOOKUP(695,Requirements!A2:B2967,2,FALSE)</f>
        <v/>
      </c>
    </row>
    <row r="2076">
      <c r="A2076" t="inlineStr">
        <is>
          <t xml:space="preserve">light </t>
        </is>
      </c>
      <c r="B2076">
        <f>VLOOKUP(711,Requirements!A2:B2967,2,FALSE)</f>
        <v/>
      </c>
    </row>
    <row r="2077">
      <c r="A2077" t="inlineStr">
        <is>
          <t xml:space="preserve">light </t>
        </is>
      </c>
      <c r="B2077">
        <f>VLOOKUP(712,Requirements!A2:B2967,2,FALSE)</f>
        <v/>
      </c>
    </row>
    <row r="2078">
      <c r="A2078" t="inlineStr">
        <is>
          <t xml:space="preserve">light </t>
        </is>
      </c>
      <c r="B2078">
        <f>VLOOKUP(725,Requirements!A2:B2967,2,FALSE)</f>
        <v/>
      </c>
    </row>
    <row r="2079">
      <c r="A2079" t="inlineStr">
        <is>
          <t xml:space="preserve">light </t>
        </is>
      </c>
      <c r="B2079">
        <f>VLOOKUP(733,Requirements!A2:B2967,2,FALSE)</f>
        <v/>
      </c>
    </row>
    <row r="2080">
      <c r="A2080" t="inlineStr">
        <is>
          <t xml:space="preserve">light </t>
        </is>
      </c>
      <c r="B2080">
        <f>VLOOKUP(745,Requirements!A2:B2967,2,FALSE)</f>
        <v/>
      </c>
    </row>
    <row r="2081">
      <c r="A2081" t="inlineStr">
        <is>
          <t xml:space="preserve">light </t>
        </is>
      </c>
      <c r="B2081">
        <f>VLOOKUP(761,Requirements!A2:B2967,2,FALSE)</f>
        <v/>
      </c>
    </row>
    <row r="2082">
      <c r="A2082" t="inlineStr">
        <is>
          <t xml:space="preserve">light </t>
        </is>
      </c>
      <c r="B2082">
        <f>VLOOKUP(784,Requirements!A2:B2967,2,FALSE)</f>
        <v/>
      </c>
    </row>
    <row r="2083">
      <c r="A2083" t="inlineStr">
        <is>
          <t xml:space="preserve">light </t>
        </is>
      </c>
      <c r="B2083">
        <f>VLOOKUP(808,Requirements!A2:B2967,2,FALSE)</f>
        <v/>
      </c>
    </row>
    <row r="2084">
      <c r="A2084" t="inlineStr">
        <is>
          <t xml:space="preserve">light </t>
        </is>
      </c>
      <c r="B2084">
        <f>VLOOKUP(838,Requirements!A2:B2967,2,FALSE)</f>
        <v/>
      </c>
    </row>
    <row r="2085">
      <c r="A2085" t="inlineStr">
        <is>
          <t xml:space="preserve">light </t>
        </is>
      </c>
      <c r="B2085">
        <f>VLOOKUP(844,Requirements!A2:B2967,2,FALSE)</f>
        <v/>
      </c>
    </row>
    <row r="2086">
      <c r="A2086" t="inlineStr">
        <is>
          <t xml:space="preserve">light </t>
        </is>
      </c>
      <c r="B2086">
        <f>VLOOKUP(878,Requirements!A2:B2967,2,FALSE)</f>
        <v/>
      </c>
    </row>
    <row r="2087">
      <c r="A2087" t="inlineStr">
        <is>
          <t xml:space="preserve">light </t>
        </is>
      </c>
      <c r="B2087">
        <f>VLOOKUP(890,Requirements!A2:B2967,2,FALSE)</f>
        <v/>
      </c>
    </row>
    <row r="2088">
      <c r="A2088" t="inlineStr">
        <is>
          <t xml:space="preserve">light </t>
        </is>
      </c>
      <c r="B2088">
        <f>VLOOKUP(915,Requirements!A2:B2967,2,FALSE)</f>
        <v/>
      </c>
    </row>
    <row r="2089">
      <c r="A2089" t="inlineStr">
        <is>
          <t xml:space="preserve">light </t>
        </is>
      </c>
      <c r="B2089">
        <f>VLOOKUP(923,Requirements!A2:B2967,2,FALSE)</f>
        <v/>
      </c>
    </row>
    <row r="2090">
      <c r="A2090" t="inlineStr">
        <is>
          <t xml:space="preserve">light </t>
        </is>
      </c>
      <c r="B2090">
        <f>VLOOKUP(947,Requirements!A2:B2967,2,FALSE)</f>
        <v/>
      </c>
    </row>
    <row r="2091">
      <c r="A2091" t="inlineStr">
        <is>
          <t xml:space="preserve">light </t>
        </is>
      </c>
      <c r="B2091">
        <f>VLOOKUP(953,Requirements!A2:B2967,2,FALSE)</f>
        <v/>
      </c>
    </row>
    <row r="2092">
      <c r="A2092" t="inlineStr">
        <is>
          <t xml:space="preserve">light </t>
        </is>
      </c>
      <c r="B2092">
        <f>VLOOKUP(985,Requirements!A2:B2967,2,FALSE)</f>
        <v/>
      </c>
    </row>
    <row r="2093">
      <c r="A2093" t="inlineStr">
        <is>
          <t xml:space="preserve">light </t>
        </is>
      </c>
      <c r="B2093">
        <f>VLOOKUP(994,Requirements!A2:B2967,2,FALSE)</f>
        <v/>
      </c>
    </row>
    <row r="2094">
      <c r="A2094" t="inlineStr">
        <is>
          <t xml:space="preserve">light </t>
        </is>
      </c>
      <c r="B2094">
        <f>VLOOKUP(999,Requirements!A2:B2967,2,FALSE)</f>
        <v/>
      </c>
    </row>
    <row r="2095">
      <c r="A2095" t="inlineStr">
        <is>
          <t xml:space="preserve">light </t>
        </is>
      </c>
      <c r="B2095">
        <f>VLOOKUP(1016,Requirements!A2:B2967,2,FALSE)</f>
        <v/>
      </c>
    </row>
    <row r="2096">
      <c r="A2096" t="inlineStr">
        <is>
          <t xml:space="preserve">light </t>
        </is>
      </c>
      <c r="B2096">
        <f>VLOOKUP(1019,Requirements!A2:B2967,2,FALSE)</f>
        <v/>
      </c>
    </row>
    <row r="2097">
      <c r="A2097" t="inlineStr">
        <is>
          <t xml:space="preserve">light </t>
        </is>
      </c>
      <c r="B2097">
        <f>VLOOKUP(1031,Requirements!A2:B2967,2,FALSE)</f>
        <v/>
      </c>
    </row>
    <row r="2098">
      <c r="A2098" t="inlineStr">
        <is>
          <t xml:space="preserve">light </t>
        </is>
      </c>
      <c r="B2098">
        <f>VLOOKUP(1062,Requirements!A2:B2967,2,FALSE)</f>
        <v/>
      </c>
    </row>
    <row r="2099">
      <c r="A2099" t="inlineStr">
        <is>
          <t xml:space="preserve">light </t>
        </is>
      </c>
      <c r="B2099">
        <f>VLOOKUP(1071,Requirements!A2:B2967,2,FALSE)</f>
        <v/>
      </c>
    </row>
    <row r="2100">
      <c r="A2100" t="inlineStr">
        <is>
          <t xml:space="preserve">light </t>
        </is>
      </c>
      <c r="B2100">
        <f>VLOOKUP(1076,Requirements!A2:B2967,2,FALSE)</f>
        <v/>
      </c>
    </row>
    <row r="2101">
      <c r="A2101" t="inlineStr">
        <is>
          <t xml:space="preserve">light </t>
        </is>
      </c>
      <c r="B2101">
        <f>VLOOKUP(1083,Requirements!A2:B2967,2,FALSE)</f>
        <v/>
      </c>
    </row>
    <row r="2102">
      <c r="A2102" t="inlineStr">
        <is>
          <t xml:space="preserve">light </t>
        </is>
      </c>
      <c r="B2102">
        <f>VLOOKUP(1085,Requirements!A2:B2967,2,FALSE)</f>
        <v/>
      </c>
    </row>
    <row r="2103">
      <c r="A2103" t="inlineStr">
        <is>
          <t xml:space="preserve">light </t>
        </is>
      </c>
      <c r="B2103">
        <f>VLOOKUP(1136,Requirements!A2:B2967,2,FALSE)</f>
        <v/>
      </c>
    </row>
    <row r="2104">
      <c r="A2104" t="inlineStr">
        <is>
          <t xml:space="preserve">light </t>
        </is>
      </c>
      <c r="B2104">
        <f>VLOOKUP(1158,Requirements!A2:B2967,2,FALSE)</f>
        <v/>
      </c>
    </row>
    <row r="2105">
      <c r="A2105" t="inlineStr">
        <is>
          <t xml:space="preserve">light </t>
        </is>
      </c>
      <c r="B2105">
        <f>VLOOKUP(1166,Requirements!A2:B2967,2,FALSE)</f>
        <v/>
      </c>
    </row>
    <row r="2106">
      <c r="A2106" t="inlineStr">
        <is>
          <t xml:space="preserve">light </t>
        </is>
      </c>
      <c r="B2106">
        <f>VLOOKUP(1190,Requirements!A2:B2967,2,FALSE)</f>
        <v/>
      </c>
    </row>
    <row r="2107">
      <c r="A2107" t="inlineStr">
        <is>
          <t xml:space="preserve">light </t>
        </is>
      </c>
      <c r="B2107">
        <f>VLOOKUP(1294,Requirements!A2:B2967,2,FALSE)</f>
        <v/>
      </c>
    </row>
    <row r="2108">
      <c r="A2108" t="inlineStr">
        <is>
          <t xml:space="preserve">light </t>
        </is>
      </c>
      <c r="B2108">
        <f>VLOOKUP(1310,Requirements!A2:B2967,2,FALSE)</f>
        <v/>
      </c>
    </row>
    <row r="2109">
      <c r="A2109" t="inlineStr">
        <is>
          <t xml:space="preserve">light </t>
        </is>
      </c>
      <c r="B2109">
        <f>VLOOKUP(1314,Requirements!A2:B2967,2,FALSE)</f>
        <v/>
      </c>
    </row>
    <row r="2110">
      <c r="A2110" t="inlineStr">
        <is>
          <t xml:space="preserve">light </t>
        </is>
      </c>
      <c r="B2110">
        <f>VLOOKUP(1372,Requirements!A2:B2967,2,FALSE)</f>
        <v/>
      </c>
    </row>
    <row r="2111">
      <c r="A2111" t="inlineStr">
        <is>
          <t xml:space="preserve">light </t>
        </is>
      </c>
      <c r="B2111">
        <f>VLOOKUP(1380,Requirements!A2:B2967,2,FALSE)</f>
        <v/>
      </c>
    </row>
    <row r="2112">
      <c r="A2112" t="inlineStr">
        <is>
          <t xml:space="preserve">light </t>
        </is>
      </c>
      <c r="B2112">
        <f>VLOOKUP(1382,Requirements!A2:B2967,2,FALSE)</f>
        <v/>
      </c>
    </row>
    <row r="2113">
      <c r="A2113" t="inlineStr">
        <is>
          <t xml:space="preserve">light </t>
        </is>
      </c>
      <c r="B2113">
        <f>VLOOKUP(1450,Requirements!A2:B2967,2,FALSE)</f>
        <v/>
      </c>
    </row>
    <row r="2114">
      <c r="A2114" t="inlineStr">
        <is>
          <t xml:space="preserve">light </t>
        </is>
      </c>
      <c r="B2114">
        <f>VLOOKUP(1466,Requirements!A2:B2967,2,FALSE)</f>
        <v/>
      </c>
    </row>
    <row r="2115">
      <c r="A2115" t="inlineStr">
        <is>
          <t xml:space="preserve">light </t>
        </is>
      </c>
      <c r="B2115">
        <f>VLOOKUP(1473,Requirements!A2:B2967,2,FALSE)</f>
        <v/>
      </c>
    </row>
    <row r="2116">
      <c r="A2116" t="inlineStr">
        <is>
          <t xml:space="preserve">light </t>
        </is>
      </c>
      <c r="B2116">
        <f>VLOOKUP(1479,Requirements!A2:B2967,2,FALSE)</f>
        <v/>
      </c>
    </row>
    <row r="2117">
      <c r="A2117" t="inlineStr">
        <is>
          <t xml:space="preserve">light </t>
        </is>
      </c>
      <c r="B2117">
        <f>VLOOKUP(1490,Requirements!A2:B2967,2,FALSE)</f>
        <v/>
      </c>
    </row>
    <row r="2118">
      <c r="A2118" t="inlineStr">
        <is>
          <t xml:space="preserve">light </t>
        </is>
      </c>
      <c r="B2118">
        <f>VLOOKUP(1509,Requirements!A2:B2967,2,FALSE)</f>
        <v/>
      </c>
    </row>
    <row r="2119">
      <c r="A2119" t="inlineStr">
        <is>
          <t xml:space="preserve">light </t>
        </is>
      </c>
      <c r="B2119">
        <f>VLOOKUP(1562,Requirements!A2:B2967,2,FALSE)</f>
        <v/>
      </c>
    </row>
    <row r="2120">
      <c r="A2120" t="inlineStr">
        <is>
          <t xml:space="preserve">light </t>
        </is>
      </c>
      <c r="B2120">
        <f>VLOOKUP(1566,Requirements!A2:B2967,2,FALSE)</f>
        <v/>
      </c>
    </row>
    <row r="2121">
      <c r="A2121" t="inlineStr">
        <is>
          <t xml:space="preserve">light </t>
        </is>
      </c>
      <c r="B2121">
        <f>VLOOKUP(1574,Requirements!A2:B2967,2,FALSE)</f>
        <v/>
      </c>
    </row>
    <row r="2122">
      <c r="A2122" t="inlineStr">
        <is>
          <t xml:space="preserve">light </t>
        </is>
      </c>
      <c r="B2122">
        <f>VLOOKUP(1597,Requirements!A2:B2967,2,FALSE)</f>
        <v/>
      </c>
    </row>
    <row r="2123">
      <c r="A2123" t="inlineStr">
        <is>
          <t xml:space="preserve">light </t>
        </is>
      </c>
      <c r="B2123">
        <f>VLOOKUP(1653,Requirements!A2:B2967,2,FALSE)</f>
        <v/>
      </c>
    </row>
    <row r="2124">
      <c r="A2124" t="inlineStr">
        <is>
          <t xml:space="preserve">light </t>
        </is>
      </c>
      <c r="B2124">
        <f>VLOOKUP(1712,Requirements!A2:B2967,2,FALSE)</f>
        <v/>
      </c>
    </row>
    <row r="2125">
      <c r="A2125" t="inlineStr">
        <is>
          <t xml:space="preserve">light </t>
        </is>
      </c>
      <c r="B2125">
        <f>VLOOKUP(1738,Requirements!A2:B2967,2,FALSE)</f>
        <v/>
      </c>
    </row>
    <row r="2126">
      <c r="A2126" t="inlineStr">
        <is>
          <t xml:space="preserve">light </t>
        </is>
      </c>
      <c r="B2126">
        <f>VLOOKUP(1749,Requirements!A2:B2967,2,FALSE)</f>
        <v/>
      </c>
    </row>
    <row r="2127">
      <c r="A2127" t="inlineStr">
        <is>
          <t xml:space="preserve">light </t>
        </is>
      </c>
      <c r="B2127">
        <f>VLOOKUP(1775,Requirements!A2:B2967,2,FALSE)</f>
        <v/>
      </c>
    </row>
    <row r="2128">
      <c r="A2128" t="inlineStr">
        <is>
          <t xml:space="preserve">light </t>
        </is>
      </c>
      <c r="B2128">
        <f>VLOOKUP(1833,Requirements!A2:B2967,2,FALSE)</f>
        <v/>
      </c>
    </row>
    <row r="2129">
      <c r="A2129" t="inlineStr">
        <is>
          <t xml:space="preserve">light </t>
        </is>
      </c>
      <c r="B2129">
        <f>VLOOKUP(1861,Requirements!A2:B2967,2,FALSE)</f>
        <v/>
      </c>
    </row>
    <row r="2130">
      <c r="A2130" t="inlineStr">
        <is>
          <t xml:space="preserve">light </t>
        </is>
      </c>
      <c r="B2130">
        <f>VLOOKUP(1863,Requirements!A2:B2967,2,FALSE)</f>
        <v/>
      </c>
    </row>
    <row r="2131">
      <c r="A2131" t="inlineStr">
        <is>
          <t xml:space="preserve">light </t>
        </is>
      </c>
      <c r="B2131">
        <f>VLOOKUP(1881,Requirements!A2:B2967,2,FALSE)</f>
        <v/>
      </c>
    </row>
    <row r="2132">
      <c r="A2132" t="inlineStr">
        <is>
          <t xml:space="preserve">light </t>
        </is>
      </c>
      <c r="B2132">
        <f>VLOOKUP(1891,Requirements!A2:B2967,2,FALSE)</f>
        <v/>
      </c>
    </row>
    <row r="2133">
      <c r="A2133" t="inlineStr">
        <is>
          <t xml:space="preserve">light </t>
        </is>
      </c>
      <c r="B2133">
        <f>VLOOKUP(1907,Requirements!A2:B2967,2,FALSE)</f>
        <v/>
      </c>
    </row>
    <row r="2134">
      <c r="A2134" t="inlineStr">
        <is>
          <t xml:space="preserve">light </t>
        </is>
      </c>
      <c r="B2134">
        <f>VLOOKUP(1972,Requirements!A2:B2967,2,FALSE)</f>
        <v/>
      </c>
    </row>
    <row r="2135">
      <c r="A2135" t="inlineStr">
        <is>
          <t xml:space="preserve">light </t>
        </is>
      </c>
      <c r="B2135">
        <f>VLOOKUP(2044,Requirements!A2:B2967,2,FALSE)</f>
        <v/>
      </c>
    </row>
    <row r="2136">
      <c r="A2136" t="inlineStr">
        <is>
          <t xml:space="preserve">light </t>
        </is>
      </c>
      <c r="B2136">
        <f>VLOOKUP(2082,Requirements!A2:B2967,2,FALSE)</f>
        <v/>
      </c>
    </row>
    <row r="2137">
      <c r="A2137" t="inlineStr">
        <is>
          <t xml:space="preserve">light </t>
        </is>
      </c>
      <c r="B2137">
        <f>VLOOKUP(2107,Requirements!A2:B2967,2,FALSE)</f>
        <v/>
      </c>
    </row>
    <row r="2138">
      <c r="A2138" t="inlineStr">
        <is>
          <t xml:space="preserve">light </t>
        </is>
      </c>
      <c r="B2138">
        <f>VLOOKUP(2119,Requirements!A2:B2967,2,FALSE)</f>
        <v/>
      </c>
    </row>
    <row r="2139">
      <c r="A2139" t="inlineStr">
        <is>
          <t xml:space="preserve">light </t>
        </is>
      </c>
      <c r="B2139">
        <f>VLOOKUP(2125,Requirements!A2:B2967,2,FALSE)</f>
        <v/>
      </c>
    </row>
    <row r="2140">
      <c r="A2140" t="inlineStr">
        <is>
          <t xml:space="preserve">light </t>
        </is>
      </c>
      <c r="B2140">
        <f>VLOOKUP(2158,Requirements!A2:B2967,2,FALSE)</f>
        <v/>
      </c>
    </row>
    <row r="2141">
      <c r="A2141" t="inlineStr">
        <is>
          <t xml:space="preserve">light </t>
        </is>
      </c>
      <c r="B2141">
        <f>VLOOKUP(2176,Requirements!A2:B2967,2,FALSE)</f>
        <v/>
      </c>
    </row>
    <row r="2142">
      <c r="A2142" t="inlineStr">
        <is>
          <t xml:space="preserve">light </t>
        </is>
      </c>
      <c r="B2142">
        <f>VLOOKUP(2178,Requirements!A2:B2967,2,FALSE)</f>
        <v/>
      </c>
    </row>
    <row r="2143">
      <c r="A2143" t="inlineStr">
        <is>
          <t xml:space="preserve">light </t>
        </is>
      </c>
      <c r="B2143">
        <f>VLOOKUP(2207,Requirements!A2:B2967,2,FALSE)</f>
        <v/>
      </c>
    </row>
    <row r="2144">
      <c r="A2144" t="inlineStr">
        <is>
          <t xml:space="preserve">light </t>
        </is>
      </c>
      <c r="B2144">
        <f>VLOOKUP(2243,Requirements!A2:B2967,2,FALSE)</f>
        <v/>
      </c>
    </row>
    <row r="2145">
      <c r="A2145" t="inlineStr">
        <is>
          <t xml:space="preserve">light </t>
        </is>
      </c>
      <c r="B2145">
        <f>VLOOKUP(2255,Requirements!A2:B2967,2,FALSE)</f>
        <v/>
      </c>
    </row>
    <row r="2146">
      <c r="A2146" t="inlineStr">
        <is>
          <t xml:space="preserve">light </t>
        </is>
      </c>
      <c r="B2146">
        <f>VLOOKUP(2295,Requirements!A2:B2967,2,FALSE)</f>
        <v/>
      </c>
    </row>
    <row r="2147">
      <c r="A2147" t="inlineStr">
        <is>
          <t xml:space="preserve">light </t>
        </is>
      </c>
      <c r="B2147">
        <f>VLOOKUP(2322,Requirements!A2:B2967,2,FALSE)</f>
        <v/>
      </c>
    </row>
    <row r="2148">
      <c r="A2148" t="inlineStr">
        <is>
          <t xml:space="preserve">light </t>
        </is>
      </c>
      <c r="B2148">
        <f>VLOOKUP(2328,Requirements!A2:B2967,2,FALSE)</f>
        <v/>
      </c>
    </row>
    <row r="2149">
      <c r="A2149" t="inlineStr">
        <is>
          <t xml:space="preserve">light </t>
        </is>
      </c>
      <c r="B2149">
        <f>VLOOKUP(2372,Requirements!A2:B2967,2,FALSE)</f>
        <v/>
      </c>
    </row>
    <row r="2150">
      <c r="A2150" t="inlineStr">
        <is>
          <t xml:space="preserve">light </t>
        </is>
      </c>
      <c r="B2150">
        <f>VLOOKUP(2373,Requirements!A2:B2967,2,FALSE)</f>
        <v/>
      </c>
    </row>
    <row r="2151">
      <c r="A2151" t="inlineStr">
        <is>
          <t xml:space="preserve">light </t>
        </is>
      </c>
      <c r="B2151">
        <f>VLOOKUP(2391,Requirements!A2:B2967,2,FALSE)</f>
        <v/>
      </c>
    </row>
    <row r="2152">
      <c r="A2152" t="inlineStr">
        <is>
          <t xml:space="preserve">light </t>
        </is>
      </c>
      <c r="B2152">
        <f>VLOOKUP(2422,Requirements!A2:B2967,2,FALSE)</f>
        <v/>
      </c>
    </row>
    <row r="2153">
      <c r="A2153" t="inlineStr">
        <is>
          <t xml:space="preserve">light </t>
        </is>
      </c>
      <c r="B2153">
        <f>VLOOKUP(2476,Requirements!A2:B2967,2,FALSE)</f>
        <v/>
      </c>
    </row>
    <row r="2154">
      <c r="A2154" t="inlineStr">
        <is>
          <t xml:space="preserve">light </t>
        </is>
      </c>
      <c r="B2154">
        <f>VLOOKUP(2488,Requirements!A2:B2967,2,FALSE)</f>
        <v/>
      </c>
    </row>
    <row r="2155">
      <c r="A2155" t="inlineStr">
        <is>
          <t xml:space="preserve">light </t>
        </is>
      </c>
      <c r="B2155">
        <f>VLOOKUP(2491,Requirements!A2:B2967,2,FALSE)</f>
        <v/>
      </c>
    </row>
    <row r="2156">
      <c r="A2156" t="inlineStr">
        <is>
          <t xml:space="preserve">light </t>
        </is>
      </c>
      <c r="B2156">
        <f>VLOOKUP(2508,Requirements!A2:B2967,2,FALSE)</f>
        <v/>
      </c>
    </row>
    <row r="2157">
      <c r="A2157" t="inlineStr">
        <is>
          <t xml:space="preserve">light </t>
        </is>
      </c>
      <c r="B2157">
        <f>VLOOKUP(2515,Requirements!A2:B2967,2,FALSE)</f>
        <v/>
      </c>
    </row>
    <row r="2158">
      <c r="A2158" t="inlineStr">
        <is>
          <t xml:space="preserve">light </t>
        </is>
      </c>
      <c r="B2158">
        <f>VLOOKUP(2527,Requirements!A2:B2967,2,FALSE)</f>
        <v/>
      </c>
    </row>
    <row r="2159">
      <c r="A2159" t="inlineStr">
        <is>
          <t xml:space="preserve">light </t>
        </is>
      </c>
      <c r="B2159">
        <f>VLOOKUP(2545,Requirements!A2:B2967,2,FALSE)</f>
        <v/>
      </c>
    </row>
    <row r="2160">
      <c r="A2160" t="inlineStr">
        <is>
          <t xml:space="preserve">light </t>
        </is>
      </c>
      <c r="B2160">
        <f>VLOOKUP(2555,Requirements!A2:B2967,2,FALSE)</f>
        <v/>
      </c>
    </row>
    <row r="2161">
      <c r="A2161" t="inlineStr">
        <is>
          <t xml:space="preserve">light </t>
        </is>
      </c>
      <c r="B2161">
        <f>VLOOKUP(2580,Requirements!A2:B2967,2,FALSE)</f>
        <v/>
      </c>
    </row>
    <row r="2162">
      <c r="A2162" t="inlineStr">
        <is>
          <t xml:space="preserve">light </t>
        </is>
      </c>
      <c r="B2162">
        <f>VLOOKUP(2587,Requirements!A2:B2967,2,FALSE)</f>
        <v/>
      </c>
    </row>
    <row r="2163">
      <c r="A2163" t="inlineStr">
        <is>
          <t xml:space="preserve">light </t>
        </is>
      </c>
      <c r="B2163">
        <f>VLOOKUP(2624,Requirements!A2:B2967,2,FALSE)</f>
        <v/>
      </c>
    </row>
    <row r="2164">
      <c r="A2164" t="inlineStr">
        <is>
          <t xml:space="preserve">light </t>
        </is>
      </c>
      <c r="B2164">
        <f>VLOOKUP(2643,Requirements!A2:B2967,2,FALSE)</f>
        <v/>
      </c>
    </row>
    <row r="2165">
      <c r="A2165" t="inlineStr">
        <is>
          <t xml:space="preserve">light </t>
        </is>
      </c>
      <c r="B2165">
        <f>VLOOKUP(2655,Requirements!A2:B2967,2,FALSE)</f>
        <v/>
      </c>
    </row>
    <row r="2166">
      <c r="A2166" t="inlineStr">
        <is>
          <t xml:space="preserve">light </t>
        </is>
      </c>
      <c r="B2166">
        <f>VLOOKUP(2707,Requirements!A2:B2967,2,FALSE)</f>
        <v/>
      </c>
    </row>
    <row r="2167">
      <c r="A2167" t="inlineStr">
        <is>
          <t xml:space="preserve">light </t>
        </is>
      </c>
      <c r="B2167">
        <f>VLOOKUP(2711,Requirements!A2:B2967,2,FALSE)</f>
        <v/>
      </c>
    </row>
    <row r="2168">
      <c r="A2168" t="inlineStr">
        <is>
          <t xml:space="preserve">light </t>
        </is>
      </c>
      <c r="B2168">
        <f>VLOOKUP(2725,Requirements!A2:B2967,2,FALSE)</f>
        <v/>
      </c>
    </row>
    <row r="2169">
      <c r="A2169" t="inlineStr">
        <is>
          <t xml:space="preserve">light </t>
        </is>
      </c>
      <c r="B2169">
        <f>VLOOKUP(2754,Requirements!A2:B2967,2,FALSE)</f>
        <v/>
      </c>
    </row>
    <row r="2170">
      <c r="A2170" t="inlineStr">
        <is>
          <t xml:space="preserve">light </t>
        </is>
      </c>
      <c r="B2170">
        <f>VLOOKUP(2761,Requirements!A2:B2967,2,FALSE)</f>
        <v/>
      </c>
    </row>
    <row r="2171">
      <c r="A2171" t="inlineStr">
        <is>
          <t xml:space="preserve">light </t>
        </is>
      </c>
      <c r="B2171">
        <f>VLOOKUP(2762,Requirements!A2:B2967,2,FALSE)</f>
        <v/>
      </c>
    </row>
    <row r="2172">
      <c r="A2172" t="inlineStr">
        <is>
          <t xml:space="preserve">light </t>
        </is>
      </c>
      <c r="B2172">
        <f>VLOOKUP(2805,Requirements!A2:B2967,2,FALSE)</f>
        <v/>
      </c>
    </row>
    <row r="2173">
      <c r="A2173" t="inlineStr">
        <is>
          <t xml:space="preserve">light </t>
        </is>
      </c>
      <c r="B2173">
        <f>VLOOKUP(2851,Requirements!A2:B2967,2,FALSE)</f>
        <v/>
      </c>
    </row>
    <row r="2174">
      <c r="A2174" t="inlineStr">
        <is>
          <t xml:space="preserve">light </t>
        </is>
      </c>
      <c r="B2174">
        <f>VLOOKUP(2893,Requirements!A2:B2967,2,FALSE)</f>
        <v/>
      </c>
    </row>
    <row r="2175">
      <c r="A2175" t="inlineStr">
        <is>
          <t xml:space="preserve">light </t>
        </is>
      </c>
      <c r="B2175">
        <f>VLOOKUP(2898,Requirements!A2:B2967,2,FALSE)</f>
        <v/>
      </c>
    </row>
    <row r="2176">
      <c r="A2176" t="inlineStr">
        <is>
          <t xml:space="preserve">light </t>
        </is>
      </c>
      <c r="B2176">
        <f>VLOOKUP(2918,Requirements!A2:B2967,2,FALSE)</f>
        <v/>
      </c>
    </row>
    <row r="2177">
      <c r="A2177" t="inlineStr">
        <is>
          <t xml:space="preserve">light </t>
        </is>
      </c>
      <c r="B2177">
        <f>VLOOKUP(2921,Requirements!A2:B2967,2,FALSE)</f>
        <v/>
      </c>
    </row>
    <row r="2178">
      <c r="A2178" t="inlineStr">
        <is>
          <t xml:space="preserve">light </t>
        </is>
      </c>
      <c r="B2178">
        <f>VLOOKUP(2933,Requirements!A2:B2967,2,FALSE)</f>
        <v/>
      </c>
    </row>
    <row r="2179">
      <c r="A2179" t="inlineStr">
        <is>
          <t xml:space="preserve">light </t>
        </is>
      </c>
      <c r="B2179">
        <f>VLOOKUP(2951,Requirements!A2:B2967,2,FALSE)</f>
        <v/>
      </c>
    </row>
    <row r="2180">
      <c r="A2180" t="inlineStr">
        <is>
          <t xml:space="preserve">light </t>
        </is>
      </c>
      <c r="B2180">
        <f>VLOOKUP(2957,Requirements!A2:B2967,2,FALSE)</f>
        <v/>
      </c>
    </row>
    <row r="2181">
      <c r="A2181" t="inlineStr">
        <is>
          <t xml:space="preserve">light </t>
        </is>
      </c>
      <c r="B2181">
        <f>VLOOKUP(3034,Requirements!A2:B2967,2,FALSE)</f>
        <v/>
      </c>
    </row>
    <row r="2182">
      <c r="A2182" t="inlineStr">
        <is>
          <t xml:space="preserve">light </t>
        </is>
      </c>
      <c r="B2182">
        <f>VLOOKUP(3046,Requirements!A2:B2967,2,FALSE)</f>
        <v/>
      </c>
    </row>
    <row r="2183">
      <c r="A2183" t="inlineStr">
        <is>
          <t xml:space="preserve">light </t>
        </is>
      </c>
      <c r="B2183">
        <f>VLOOKUP(3062,Requirements!A2:B2967,2,FALSE)</f>
        <v/>
      </c>
    </row>
    <row r="2184">
      <c r="A2184" t="inlineStr">
        <is>
          <t xml:space="preserve">light </t>
        </is>
      </c>
      <c r="B2184">
        <f>VLOOKUP(3078,Requirements!A2:B2967,2,FALSE)</f>
        <v/>
      </c>
    </row>
    <row r="2185">
      <c r="A2185" t="inlineStr">
        <is>
          <t xml:space="preserve">light </t>
        </is>
      </c>
      <c r="B2185">
        <f>VLOOKUP(3082,Requirements!A2:B2967,2,FALSE)</f>
        <v/>
      </c>
    </row>
    <row r="2186">
      <c r="A2186" t="inlineStr">
        <is>
          <t xml:space="preserve">light </t>
        </is>
      </c>
      <c r="B2186">
        <f>VLOOKUP(3086,Requirements!A2:B2967,2,FALSE)</f>
        <v/>
      </c>
    </row>
    <row r="2187">
      <c r="A2187" t="inlineStr">
        <is>
          <t xml:space="preserve">light </t>
        </is>
      </c>
      <c r="B2187">
        <f>VLOOKUP(3138,Requirements!A2:B2967,2,FALSE)</f>
        <v/>
      </c>
    </row>
    <row r="2188">
      <c r="A2188" t="inlineStr">
        <is>
          <t xml:space="preserve">light </t>
        </is>
      </c>
      <c r="B2188">
        <f>VLOOKUP(3140,Requirements!A2:B2967,2,FALSE)</f>
        <v/>
      </c>
    </row>
    <row r="2189">
      <c r="A2189" t="inlineStr">
        <is>
          <t xml:space="preserve">light </t>
        </is>
      </c>
      <c r="B2189">
        <f>VLOOKUP(3161,Requirements!A2:B2967,2,FALSE)</f>
        <v/>
      </c>
    </row>
    <row r="2190">
      <c r="A2190" t="inlineStr">
        <is>
          <t xml:space="preserve">light </t>
        </is>
      </c>
      <c r="B2190">
        <f>VLOOKUP(3168,Requirements!A2:B2967,2,FALSE)</f>
        <v/>
      </c>
    </row>
    <row r="2191">
      <c r="A2191" t="inlineStr">
        <is>
          <t xml:space="preserve">light </t>
        </is>
      </c>
      <c r="B2191">
        <f>VLOOKUP(3195,Requirements!A2:B2967,2,FALSE)</f>
        <v/>
      </c>
    </row>
    <row r="2192">
      <c r="A2192" t="inlineStr">
        <is>
          <t xml:space="preserve">light </t>
        </is>
      </c>
      <c r="B2192">
        <f>VLOOKUP(3200,Requirements!A2:B2967,2,FALSE)</f>
        <v/>
      </c>
    </row>
    <row r="2193">
      <c r="A2193" t="inlineStr">
        <is>
          <t xml:space="preserve">light </t>
        </is>
      </c>
      <c r="B2193">
        <f>VLOOKUP(3233,Requirements!A2:B2967,2,FALSE)</f>
        <v/>
      </c>
    </row>
    <row r="2194">
      <c r="A2194" t="inlineStr">
        <is>
          <t xml:space="preserve">light </t>
        </is>
      </c>
      <c r="B2194">
        <f>VLOOKUP(3235,Requirements!A2:B2967,2,FALSE)</f>
        <v/>
      </c>
    </row>
    <row r="2195">
      <c r="A2195" t="inlineStr">
        <is>
          <t xml:space="preserve">light </t>
        </is>
      </c>
      <c r="B2195">
        <f>VLOOKUP(3245,Requirements!A2:B2967,2,FALSE)</f>
        <v/>
      </c>
    </row>
    <row r="2196">
      <c r="A2196" t="inlineStr">
        <is>
          <t xml:space="preserve">light </t>
        </is>
      </c>
      <c r="B2196">
        <f>VLOOKUP(3247,Requirements!A2:B2967,2,FALSE)</f>
        <v/>
      </c>
    </row>
    <row r="2197">
      <c r="A2197" t="inlineStr">
        <is>
          <t xml:space="preserve">light </t>
        </is>
      </c>
      <c r="B2197">
        <f>VLOOKUP(3248,Requirements!A2:B2967,2,FALSE)</f>
        <v/>
      </c>
    </row>
    <row r="2198">
      <c r="A2198" t="inlineStr">
        <is>
          <t xml:space="preserve">light </t>
        </is>
      </c>
      <c r="B2198">
        <f>VLOOKUP(3249,Requirements!A2:B2967,2,FALSE)</f>
        <v/>
      </c>
    </row>
    <row r="2199">
      <c r="A2199" t="inlineStr">
        <is>
          <t xml:space="preserve">light </t>
        </is>
      </c>
      <c r="B2199">
        <f>VLOOKUP(3259,Requirements!A2:B2967,2,FALSE)</f>
        <v/>
      </c>
    </row>
    <row r="2200">
      <c r="A2200" t="inlineStr">
        <is>
          <t xml:space="preserve">house </t>
        </is>
      </c>
      <c r="B2200">
        <f>VLOOKUP(12,Requirements!A2:B2967,2,FALSE)</f>
        <v/>
      </c>
    </row>
    <row r="2201">
      <c r="A2201" t="inlineStr">
        <is>
          <t xml:space="preserve">house </t>
        </is>
      </c>
      <c r="B2201">
        <f>VLOOKUP(29,Requirements!A2:B2967,2,FALSE)</f>
        <v/>
      </c>
    </row>
    <row r="2202">
      <c r="A2202" t="inlineStr">
        <is>
          <t xml:space="preserve">house </t>
        </is>
      </c>
      <c r="B2202">
        <f>VLOOKUP(62,Requirements!A2:B2967,2,FALSE)</f>
        <v/>
      </c>
    </row>
    <row r="2203">
      <c r="A2203" t="inlineStr">
        <is>
          <t xml:space="preserve">house </t>
        </is>
      </c>
      <c r="B2203">
        <f>VLOOKUP(75,Requirements!A2:B2967,2,FALSE)</f>
        <v/>
      </c>
    </row>
    <row r="2204">
      <c r="A2204" t="inlineStr">
        <is>
          <t xml:space="preserve">house </t>
        </is>
      </c>
      <c r="B2204">
        <f>VLOOKUP(78,Requirements!A2:B2967,2,FALSE)</f>
        <v/>
      </c>
    </row>
    <row r="2205">
      <c r="A2205" t="inlineStr">
        <is>
          <t xml:space="preserve">house </t>
        </is>
      </c>
      <c r="B2205">
        <f>VLOOKUP(91,Requirements!A2:B2967,2,FALSE)</f>
        <v/>
      </c>
    </row>
    <row r="2206">
      <c r="A2206" t="inlineStr">
        <is>
          <t xml:space="preserve">house </t>
        </is>
      </c>
      <c r="B2206">
        <f>VLOOKUP(103,Requirements!A2:B2967,2,FALSE)</f>
        <v/>
      </c>
    </row>
    <row r="2207">
      <c r="A2207" t="inlineStr">
        <is>
          <t xml:space="preserve">house </t>
        </is>
      </c>
      <c r="B2207">
        <f>VLOOKUP(143,Requirements!A2:B2967,2,FALSE)</f>
        <v/>
      </c>
    </row>
    <row r="2208">
      <c r="A2208" t="inlineStr">
        <is>
          <t xml:space="preserve">house </t>
        </is>
      </c>
      <c r="B2208">
        <f>VLOOKUP(154,Requirements!A2:B2967,2,FALSE)</f>
        <v/>
      </c>
    </row>
    <row r="2209">
      <c r="A2209" t="inlineStr">
        <is>
          <t xml:space="preserve">house </t>
        </is>
      </c>
      <c r="B2209">
        <f>VLOOKUP(160,Requirements!A2:B2967,2,FALSE)</f>
        <v/>
      </c>
    </row>
    <row r="2210">
      <c r="A2210" t="inlineStr">
        <is>
          <t xml:space="preserve">house </t>
        </is>
      </c>
      <c r="B2210">
        <f>VLOOKUP(162,Requirements!A2:B2967,2,FALSE)</f>
        <v/>
      </c>
    </row>
    <row r="2211">
      <c r="A2211" t="inlineStr">
        <is>
          <t xml:space="preserve">house </t>
        </is>
      </c>
      <c r="B2211">
        <f>VLOOKUP(166,Requirements!A2:B2967,2,FALSE)</f>
        <v/>
      </c>
    </row>
    <row r="2212">
      <c r="A2212" t="inlineStr">
        <is>
          <t xml:space="preserve">house </t>
        </is>
      </c>
      <c r="B2212">
        <f>VLOOKUP(169,Requirements!A2:B2967,2,FALSE)</f>
        <v/>
      </c>
    </row>
    <row r="2213">
      <c r="A2213" t="inlineStr">
        <is>
          <t xml:space="preserve">house </t>
        </is>
      </c>
      <c r="B2213">
        <f>VLOOKUP(190,Requirements!A2:B2967,2,FALSE)</f>
        <v/>
      </c>
    </row>
    <row r="2214">
      <c r="A2214" t="inlineStr">
        <is>
          <t xml:space="preserve">house </t>
        </is>
      </c>
      <c r="B2214">
        <f>VLOOKUP(194,Requirements!A2:B2967,2,FALSE)</f>
        <v/>
      </c>
    </row>
    <row r="2215">
      <c r="A2215" t="inlineStr">
        <is>
          <t xml:space="preserve">house </t>
        </is>
      </c>
      <c r="B2215">
        <f>VLOOKUP(208,Requirements!A2:B2967,2,FALSE)</f>
        <v/>
      </c>
    </row>
    <row r="2216">
      <c r="A2216" t="inlineStr">
        <is>
          <t xml:space="preserve">house </t>
        </is>
      </c>
      <c r="B2216">
        <f>VLOOKUP(211,Requirements!A2:B2967,2,FALSE)</f>
        <v/>
      </c>
    </row>
    <row r="2217">
      <c r="A2217" t="inlineStr">
        <is>
          <t xml:space="preserve">house </t>
        </is>
      </c>
      <c r="B2217">
        <f>VLOOKUP(213,Requirements!A2:B2967,2,FALSE)</f>
        <v/>
      </c>
    </row>
    <row r="2218">
      <c r="A2218" t="inlineStr">
        <is>
          <t xml:space="preserve">house </t>
        </is>
      </c>
      <c r="B2218">
        <f>VLOOKUP(267,Requirements!A2:B2967,2,FALSE)</f>
        <v/>
      </c>
    </row>
    <row r="2219">
      <c r="A2219" t="inlineStr">
        <is>
          <t xml:space="preserve">house </t>
        </is>
      </c>
      <c r="B2219">
        <f>VLOOKUP(271,Requirements!A2:B2967,2,FALSE)</f>
        <v/>
      </c>
    </row>
    <row r="2220">
      <c r="A2220" t="inlineStr">
        <is>
          <t xml:space="preserve">house </t>
        </is>
      </c>
      <c r="B2220">
        <f>VLOOKUP(303,Requirements!A2:B2967,2,FALSE)</f>
        <v/>
      </c>
    </row>
    <row r="2221">
      <c r="A2221" t="inlineStr">
        <is>
          <t xml:space="preserve">house </t>
        </is>
      </c>
      <c r="B2221">
        <f>VLOOKUP(305,Requirements!A2:B2967,2,FALSE)</f>
        <v/>
      </c>
    </row>
    <row r="2222">
      <c r="A2222" t="inlineStr">
        <is>
          <t xml:space="preserve">house </t>
        </is>
      </c>
      <c r="B2222">
        <f>VLOOKUP(311,Requirements!A2:B2967,2,FALSE)</f>
        <v/>
      </c>
    </row>
    <row r="2223">
      <c r="A2223" t="inlineStr">
        <is>
          <t xml:space="preserve">house </t>
        </is>
      </c>
      <c r="B2223">
        <f>VLOOKUP(316,Requirements!A2:B2967,2,FALSE)</f>
        <v/>
      </c>
    </row>
    <row r="2224">
      <c r="A2224" t="inlineStr">
        <is>
          <t xml:space="preserve">house </t>
        </is>
      </c>
      <c r="B2224">
        <f>VLOOKUP(321,Requirements!A2:B2967,2,FALSE)</f>
        <v/>
      </c>
    </row>
    <row r="2225">
      <c r="A2225" t="inlineStr">
        <is>
          <t xml:space="preserve">house </t>
        </is>
      </c>
      <c r="B2225">
        <f>VLOOKUP(329,Requirements!A2:B2967,2,FALSE)</f>
        <v/>
      </c>
    </row>
    <row r="2226">
      <c r="A2226" t="inlineStr">
        <is>
          <t xml:space="preserve">house </t>
        </is>
      </c>
      <c r="B2226">
        <f>VLOOKUP(331,Requirements!A2:B2967,2,FALSE)</f>
        <v/>
      </c>
    </row>
    <row r="2227">
      <c r="A2227" t="inlineStr">
        <is>
          <t xml:space="preserve">house </t>
        </is>
      </c>
      <c r="B2227">
        <f>VLOOKUP(332,Requirements!A2:B2967,2,FALSE)</f>
        <v/>
      </c>
    </row>
    <row r="2228">
      <c r="A2228" t="inlineStr">
        <is>
          <t xml:space="preserve">house </t>
        </is>
      </c>
      <c r="B2228">
        <f>VLOOKUP(345,Requirements!A2:B2967,2,FALSE)</f>
        <v/>
      </c>
    </row>
    <row r="2229">
      <c r="A2229" t="inlineStr">
        <is>
          <t xml:space="preserve">house </t>
        </is>
      </c>
      <c r="B2229">
        <f>VLOOKUP(347,Requirements!A2:B2967,2,FALSE)</f>
        <v/>
      </c>
    </row>
    <row r="2230">
      <c r="A2230" t="inlineStr">
        <is>
          <t xml:space="preserve">house </t>
        </is>
      </c>
      <c r="B2230">
        <f>VLOOKUP(350,Requirements!A2:B2967,2,FALSE)</f>
        <v/>
      </c>
    </row>
    <row r="2231">
      <c r="A2231" t="inlineStr">
        <is>
          <t xml:space="preserve">house </t>
        </is>
      </c>
      <c r="B2231">
        <f>VLOOKUP(354,Requirements!A2:B2967,2,FALSE)</f>
        <v/>
      </c>
    </row>
    <row r="2232">
      <c r="A2232" t="inlineStr">
        <is>
          <t xml:space="preserve">house </t>
        </is>
      </c>
      <c r="B2232">
        <f>VLOOKUP(356,Requirements!A2:B2967,2,FALSE)</f>
        <v/>
      </c>
    </row>
    <row r="2233">
      <c r="A2233" t="inlineStr">
        <is>
          <t xml:space="preserve">house </t>
        </is>
      </c>
      <c r="B2233">
        <f>VLOOKUP(372,Requirements!A2:B2967,2,FALSE)</f>
        <v/>
      </c>
    </row>
    <row r="2234">
      <c r="A2234" t="inlineStr">
        <is>
          <t xml:space="preserve">house </t>
        </is>
      </c>
      <c r="B2234">
        <f>VLOOKUP(374,Requirements!A2:B2967,2,FALSE)</f>
        <v/>
      </c>
    </row>
    <row r="2235">
      <c r="A2235" t="inlineStr">
        <is>
          <t xml:space="preserve">house </t>
        </is>
      </c>
      <c r="B2235">
        <f>VLOOKUP(376,Requirements!A2:B2967,2,FALSE)</f>
        <v/>
      </c>
    </row>
    <row r="2236">
      <c r="A2236" t="inlineStr">
        <is>
          <t xml:space="preserve">house </t>
        </is>
      </c>
      <c r="B2236">
        <f>VLOOKUP(379,Requirements!A2:B2967,2,FALSE)</f>
        <v/>
      </c>
    </row>
    <row r="2237">
      <c r="A2237" t="inlineStr">
        <is>
          <t xml:space="preserve">house </t>
        </is>
      </c>
      <c r="B2237">
        <f>VLOOKUP(389,Requirements!A2:B2967,2,FALSE)</f>
        <v/>
      </c>
    </row>
    <row r="2238">
      <c r="A2238" t="inlineStr">
        <is>
          <t xml:space="preserve">house </t>
        </is>
      </c>
      <c r="B2238">
        <f>VLOOKUP(407,Requirements!A2:B2967,2,FALSE)</f>
        <v/>
      </c>
    </row>
    <row r="2239">
      <c r="A2239" t="inlineStr">
        <is>
          <t xml:space="preserve">house </t>
        </is>
      </c>
      <c r="B2239">
        <f>VLOOKUP(409,Requirements!A2:B2967,2,FALSE)</f>
        <v/>
      </c>
    </row>
    <row r="2240">
      <c r="A2240" t="inlineStr">
        <is>
          <t xml:space="preserve">house </t>
        </is>
      </c>
      <c r="B2240">
        <f>VLOOKUP(412,Requirements!A2:B2967,2,FALSE)</f>
        <v/>
      </c>
    </row>
    <row r="2241">
      <c r="A2241" t="inlineStr">
        <is>
          <t xml:space="preserve">house </t>
        </is>
      </c>
      <c r="B2241">
        <f>VLOOKUP(418,Requirements!A2:B2967,2,FALSE)</f>
        <v/>
      </c>
    </row>
    <row r="2242">
      <c r="A2242" t="inlineStr">
        <is>
          <t xml:space="preserve">house </t>
        </is>
      </c>
      <c r="B2242">
        <f>VLOOKUP(426,Requirements!A2:B2967,2,FALSE)</f>
        <v/>
      </c>
    </row>
    <row r="2243">
      <c r="A2243" t="inlineStr">
        <is>
          <t xml:space="preserve">house </t>
        </is>
      </c>
      <c r="B2243">
        <f>VLOOKUP(431,Requirements!A2:B2967,2,FALSE)</f>
        <v/>
      </c>
    </row>
    <row r="2244">
      <c r="A2244" t="inlineStr">
        <is>
          <t xml:space="preserve">house </t>
        </is>
      </c>
      <c r="B2244">
        <f>VLOOKUP(432,Requirements!A2:B2967,2,FALSE)</f>
        <v/>
      </c>
    </row>
    <row r="2245">
      <c r="A2245" t="inlineStr">
        <is>
          <t xml:space="preserve">house </t>
        </is>
      </c>
      <c r="B2245">
        <f>VLOOKUP(453,Requirements!A2:B2967,2,FALSE)</f>
        <v/>
      </c>
    </row>
    <row r="2246">
      <c r="A2246" t="inlineStr">
        <is>
          <t xml:space="preserve">house </t>
        </is>
      </c>
      <c r="B2246">
        <f>VLOOKUP(454,Requirements!A2:B2967,2,FALSE)</f>
        <v/>
      </c>
    </row>
    <row r="2247">
      <c r="A2247" t="inlineStr">
        <is>
          <t xml:space="preserve">house </t>
        </is>
      </c>
      <c r="B2247">
        <f>VLOOKUP(455,Requirements!A2:B2967,2,FALSE)</f>
        <v/>
      </c>
    </row>
    <row r="2248">
      <c r="A2248" t="inlineStr">
        <is>
          <t xml:space="preserve">house </t>
        </is>
      </c>
      <c r="B2248">
        <f>VLOOKUP(458,Requirements!A2:B2967,2,FALSE)</f>
        <v/>
      </c>
    </row>
    <row r="2249">
      <c r="A2249" t="inlineStr">
        <is>
          <t xml:space="preserve">house </t>
        </is>
      </c>
      <c r="B2249">
        <f>VLOOKUP(489,Requirements!A2:B2967,2,FALSE)</f>
        <v/>
      </c>
    </row>
    <row r="2250">
      <c r="A2250" t="inlineStr">
        <is>
          <t xml:space="preserve">house </t>
        </is>
      </c>
      <c r="B2250">
        <f>VLOOKUP(491,Requirements!A2:B2967,2,FALSE)</f>
        <v/>
      </c>
    </row>
    <row r="2251">
      <c r="A2251" t="inlineStr">
        <is>
          <t xml:space="preserve">house </t>
        </is>
      </c>
      <c r="B2251">
        <f>VLOOKUP(494,Requirements!A2:B2967,2,FALSE)</f>
        <v/>
      </c>
    </row>
    <row r="2252">
      <c r="A2252" t="inlineStr">
        <is>
          <t xml:space="preserve">house </t>
        </is>
      </c>
      <c r="B2252">
        <f>VLOOKUP(498,Requirements!A2:B2967,2,FALSE)</f>
        <v/>
      </c>
    </row>
    <row r="2253">
      <c r="A2253" t="inlineStr">
        <is>
          <t xml:space="preserve">house </t>
        </is>
      </c>
      <c r="B2253">
        <f>VLOOKUP(503,Requirements!A2:B2967,2,FALSE)</f>
        <v/>
      </c>
    </row>
    <row r="2254">
      <c r="A2254" t="inlineStr">
        <is>
          <t xml:space="preserve">house </t>
        </is>
      </c>
      <c r="B2254">
        <f>VLOOKUP(534,Requirements!A2:B2967,2,FALSE)</f>
        <v/>
      </c>
    </row>
    <row r="2255">
      <c r="A2255" t="inlineStr">
        <is>
          <t xml:space="preserve">house </t>
        </is>
      </c>
      <c r="B2255">
        <f>VLOOKUP(550,Requirements!A2:B2967,2,FALSE)</f>
        <v/>
      </c>
    </row>
    <row r="2256">
      <c r="A2256" t="inlineStr">
        <is>
          <t xml:space="preserve">house </t>
        </is>
      </c>
      <c r="B2256">
        <f>VLOOKUP(552,Requirements!A2:B2967,2,FALSE)</f>
        <v/>
      </c>
    </row>
    <row r="2257">
      <c r="A2257" t="inlineStr">
        <is>
          <t xml:space="preserve">house </t>
        </is>
      </c>
      <c r="B2257">
        <f>VLOOKUP(554,Requirements!A2:B2967,2,FALSE)</f>
        <v/>
      </c>
    </row>
    <row r="2258">
      <c r="A2258" t="inlineStr">
        <is>
          <t xml:space="preserve">house </t>
        </is>
      </c>
      <c r="B2258">
        <f>VLOOKUP(559,Requirements!A2:B2967,2,FALSE)</f>
        <v/>
      </c>
    </row>
    <row r="2259">
      <c r="A2259" t="inlineStr">
        <is>
          <t xml:space="preserve">house </t>
        </is>
      </c>
      <c r="B2259">
        <f>VLOOKUP(605,Requirements!A2:B2967,2,FALSE)</f>
        <v/>
      </c>
    </row>
    <row r="2260">
      <c r="A2260" t="inlineStr">
        <is>
          <t xml:space="preserve">house </t>
        </is>
      </c>
      <c r="B2260">
        <f>VLOOKUP(606,Requirements!A2:B2967,2,FALSE)</f>
        <v/>
      </c>
    </row>
    <row r="2261">
      <c r="A2261" t="inlineStr">
        <is>
          <t xml:space="preserve">house </t>
        </is>
      </c>
      <c r="B2261">
        <f>VLOOKUP(611,Requirements!A2:B2967,2,FALSE)</f>
        <v/>
      </c>
    </row>
    <row r="2262">
      <c r="A2262" t="inlineStr">
        <is>
          <t xml:space="preserve">house </t>
        </is>
      </c>
      <c r="B2262">
        <f>VLOOKUP(616,Requirements!A2:B2967,2,FALSE)</f>
        <v/>
      </c>
    </row>
    <row r="2263">
      <c r="A2263" t="inlineStr">
        <is>
          <t xml:space="preserve">house </t>
        </is>
      </c>
      <c r="B2263">
        <f>VLOOKUP(620,Requirements!A2:B2967,2,FALSE)</f>
        <v/>
      </c>
    </row>
    <row r="2264">
      <c r="A2264" t="inlineStr">
        <is>
          <t xml:space="preserve">house </t>
        </is>
      </c>
      <c r="B2264">
        <f>VLOOKUP(666,Requirements!A2:B2967,2,FALSE)</f>
        <v/>
      </c>
    </row>
    <row r="2265">
      <c r="A2265" t="inlineStr">
        <is>
          <t xml:space="preserve">house </t>
        </is>
      </c>
      <c r="B2265">
        <f>VLOOKUP(673,Requirements!A2:B2967,2,FALSE)</f>
        <v/>
      </c>
    </row>
    <row r="2266">
      <c r="A2266" t="inlineStr">
        <is>
          <t xml:space="preserve">house </t>
        </is>
      </c>
      <c r="B2266">
        <f>VLOOKUP(675,Requirements!A2:B2967,2,FALSE)</f>
        <v/>
      </c>
    </row>
    <row r="2267">
      <c r="A2267" t="inlineStr">
        <is>
          <t xml:space="preserve">house </t>
        </is>
      </c>
      <c r="B2267">
        <f>VLOOKUP(695,Requirements!A2:B2967,2,FALSE)</f>
        <v/>
      </c>
    </row>
    <row r="2268">
      <c r="A2268" t="inlineStr">
        <is>
          <t xml:space="preserve">house </t>
        </is>
      </c>
      <c r="B2268">
        <f>VLOOKUP(736,Requirements!A2:B2967,2,FALSE)</f>
        <v/>
      </c>
    </row>
    <row r="2269">
      <c r="A2269" t="inlineStr">
        <is>
          <t xml:space="preserve">house </t>
        </is>
      </c>
      <c r="B2269">
        <f>VLOOKUP(747,Requirements!A2:B2967,2,FALSE)</f>
        <v/>
      </c>
    </row>
    <row r="2270">
      <c r="A2270" t="inlineStr">
        <is>
          <t xml:space="preserve">house </t>
        </is>
      </c>
      <c r="B2270">
        <f>VLOOKUP(754,Requirements!A2:B2967,2,FALSE)</f>
        <v/>
      </c>
    </row>
    <row r="2271">
      <c r="A2271" t="inlineStr">
        <is>
          <t xml:space="preserve">house </t>
        </is>
      </c>
      <c r="B2271">
        <f>VLOOKUP(757,Requirements!A2:B2967,2,FALSE)</f>
        <v/>
      </c>
    </row>
    <row r="2272">
      <c r="A2272" t="inlineStr">
        <is>
          <t xml:space="preserve">house </t>
        </is>
      </c>
      <c r="B2272">
        <f>VLOOKUP(759,Requirements!A2:B2967,2,FALSE)</f>
        <v/>
      </c>
    </row>
    <row r="2273">
      <c r="A2273" t="inlineStr">
        <is>
          <t xml:space="preserve">house </t>
        </is>
      </c>
      <c r="B2273">
        <f>VLOOKUP(777,Requirements!A2:B2967,2,FALSE)</f>
        <v/>
      </c>
    </row>
    <row r="2274">
      <c r="A2274" t="inlineStr">
        <is>
          <t xml:space="preserve">house </t>
        </is>
      </c>
      <c r="B2274">
        <f>VLOOKUP(780,Requirements!A2:B2967,2,FALSE)</f>
        <v/>
      </c>
    </row>
    <row r="2275">
      <c r="A2275" t="inlineStr">
        <is>
          <t xml:space="preserve">house </t>
        </is>
      </c>
      <c r="B2275">
        <f>VLOOKUP(793,Requirements!A2:B2967,2,FALSE)</f>
        <v/>
      </c>
    </row>
    <row r="2276">
      <c r="A2276" t="inlineStr">
        <is>
          <t xml:space="preserve">house </t>
        </is>
      </c>
      <c r="B2276">
        <f>VLOOKUP(811,Requirements!A2:B2967,2,FALSE)</f>
        <v/>
      </c>
    </row>
    <row r="2277">
      <c r="A2277" t="inlineStr">
        <is>
          <t xml:space="preserve">house </t>
        </is>
      </c>
      <c r="B2277">
        <f>VLOOKUP(817,Requirements!A2:B2967,2,FALSE)</f>
        <v/>
      </c>
    </row>
    <row r="2278">
      <c r="A2278" t="inlineStr">
        <is>
          <t xml:space="preserve">house </t>
        </is>
      </c>
      <c r="B2278">
        <f>VLOOKUP(859,Requirements!A2:B2967,2,FALSE)</f>
        <v/>
      </c>
    </row>
    <row r="2279">
      <c r="A2279" t="inlineStr">
        <is>
          <t xml:space="preserve">house </t>
        </is>
      </c>
      <c r="B2279">
        <f>VLOOKUP(875,Requirements!A2:B2967,2,FALSE)</f>
        <v/>
      </c>
    </row>
    <row r="2280">
      <c r="A2280" t="inlineStr">
        <is>
          <t xml:space="preserve">house </t>
        </is>
      </c>
      <c r="B2280">
        <f>VLOOKUP(876,Requirements!A2:B2967,2,FALSE)</f>
        <v/>
      </c>
    </row>
    <row r="2281">
      <c r="A2281" t="inlineStr">
        <is>
          <t xml:space="preserve">house </t>
        </is>
      </c>
      <c r="B2281">
        <f>VLOOKUP(882,Requirements!A2:B2967,2,FALSE)</f>
        <v/>
      </c>
    </row>
    <row r="2282">
      <c r="A2282" t="inlineStr">
        <is>
          <t xml:space="preserve">house </t>
        </is>
      </c>
      <c r="B2282">
        <f>VLOOKUP(887,Requirements!A2:B2967,2,FALSE)</f>
        <v/>
      </c>
    </row>
    <row r="2283">
      <c r="A2283" t="inlineStr">
        <is>
          <t xml:space="preserve">house </t>
        </is>
      </c>
      <c r="B2283">
        <f>VLOOKUP(902,Requirements!A2:B2967,2,FALSE)</f>
        <v/>
      </c>
    </row>
    <row r="2284">
      <c r="A2284" t="inlineStr">
        <is>
          <t xml:space="preserve">house </t>
        </is>
      </c>
      <c r="B2284">
        <f>VLOOKUP(926,Requirements!A2:B2967,2,FALSE)</f>
        <v/>
      </c>
    </row>
    <row r="2285">
      <c r="A2285" t="inlineStr">
        <is>
          <t xml:space="preserve">house </t>
        </is>
      </c>
      <c r="B2285">
        <f>VLOOKUP(933,Requirements!A2:B2967,2,FALSE)</f>
        <v/>
      </c>
    </row>
    <row r="2286">
      <c r="A2286" t="inlineStr">
        <is>
          <t xml:space="preserve">house </t>
        </is>
      </c>
      <c r="B2286">
        <f>VLOOKUP(968,Requirements!A2:B2967,2,FALSE)</f>
        <v/>
      </c>
    </row>
    <row r="2287">
      <c r="A2287" t="inlineStr">
        <is>
          <t xml:space="preserve">house </t>
        </is>
      </c>
      <c r="B2287">
        <f>VLOOKUP(970,Requirements!A2:B2967,2,FALSE)</f>
        <v/>
      </c>
    </row>
    <row r="2288">
      <c r="A2288" t="inlineStr">
        <is>
          <t xml:space="preserve">house </t>
        </is>
      </c>
      <c r="B2288">
        <f>VLOOKUP(972,Requirements!A2:B2967,2,FALSE)</f>
        <v/>
      </c>
    </row>
    <row r="2289">
      <c r="A2289" t="inlineStr">
        <is>
          <t xml:space="preserve">house </t>
        </is>
      </c>
      <c r="B2289">
        <f>VLOOKUP(977,Requirements!A2:B2967,2,FALSE)</f>
        <v/>
      </c>
    </row>
    <row r="2290">
      <c r="A2290" t="inlineStr">
        <is>
          <t xml:space="preserve">house </t>
        </is>
      </c>
      <c r="B2290">
        <f>VLOOKUP(986,Requirements!A2:B2967,2,FALSE)</f>
        <v/>
      </c>
    </row>
    <row r="2291">
      <c r="A2291" t="inlineStr">
        <is>
          <t xml:space="preserve">house </t>
        </is>
      </c>
      <c r="B2291">
        <f>VLOOKUP(992,Requirements!A2:B2967,2,FALSE)</f>
        <v/>
      </c>
    </row>
    <row r="2292">
      <c r="A2292" t="inlineStr">
        <is>
          <t xml:space="preserve">house </t>
        </is>
      </c>
      <c r="B2292">
        <f>VLOOKUP(995,Requirements!A2:B2967,2,FALSE)</f>
        <v/>
      </c>
    </row>
    <row r="2293">
      <c r="A2293" t="inlineStr">
        <is>
          <t xml:space="preserve">house </t>
        </is>
      </c>
      <c r="B2293">
        <f>VLOOKUP(1001,Requirements!A2:B2967,2,FALSE)</f>
        <v/>
      </c>
    </row>
    <row r="2294">
      <c r="A2294" t="inlineStr">
        <is>
          <t xml:space="preserve">house </t>
        </is>
      </c>
      <c r="B2294">
        <f>VLOOKUP(1013,Requirements!A2:B2967,2,FALSE)</f>
        <v/>
      </c>
    </row>
    <row r="2295">
      <c r="A2295" t="inlineStr">
        <is>
          <t xml:space="preserve">house </t>
        </is>
      </c>
      <c r="B2295">
        <f>VLOOKUP(1014,Requirements!A2:B2967,2,FALSE)</f>
        <v/>
      </c>
    </row>
    <row r="2296">
      <c r="A2296" t="inlineStr">
        <is>
          <t xml:space="preserve">house </t>
        </is>
      </c>
      <c r="B2296">
        <f>VLOOKUP(1022,Requirements!A2:B2967,2,FALSE)</f>
        <v/>
      </c>
    </row>
    <row r="2297">
      <c r="A2297" t="inlineStr">
        <is>
          <t xml:space="preserve">house </t>
        </is>
      </c>
      <c r="B2297">
        <f>VLOOKUP(1028,Requirements!A2:B2967,2,FALSE)</f>
        <v/>
      </c>
    </row>
    <row r="2298">
      <c r="A2298" t="inlineStr">
        <is>
          <t xml:space="preserve">house </t>
        </is>
      </c>
      <c r="B2298">
        <f>VLOOKUP(1032,Requirements!A2:B2967,2,FALSE)</f>
        <v/>
      </c>
    </row>
    <row r="2299">
      <c r="A2299" t="inlineStr">
        <is>
          <t xml:space="preserve">house </t>
        </is>
      </c>
      <c r="B2299">
        <f>VLOOKUP(1033,Requirements!A2:B2967,2,FALSE)</f>
        <v/>
      </c>
    </row>
    <row r="2300">
      <c r="A2300" t="inlineStr">
        <is>
          <t xml:space="preserve">house </t>
        </is>
      </c>
      <c r="B2300">
        <f>VLOOKUP(1060,Requirements!A2:B2967,2,FALSE)</f>
        <v/>
      </c>
    </row>
    <row r="2301">
      <c r="A2301" t="inlineStr">
        <is>
          <t xml:space="preserve">house </t>
        </is>
      </c>
      <c r="B2301">
        <f>VLOOKUP(1063,Requirements!A2:B2967,2,FALSE)</f>
        <v/>
      </c>
    </row>
    <row r="2302">
      <c r="A2302" t="inlineStr">
        <is>
          <t xml:space="preserve">house </t>
        </is>
      </c>
      <c r="B2302">
        <f>VLOOKUP(1068,Requirements!A2:B2967,2,FALSE)</f>
        <v/>
      </c>
    </row>
    <row r="2303">
      <c r="A2303" t="inlineStr">
        <is>
          <t xml:space="preserve">house </t>
        </is>
      </c>
      <c r="B2303">
        <f>VLOOKUP(1075,Requirements!A2:B2967,2,FALSE)</f>
        <v/>
      </c>
    </row>
    <row r="2304">
      <c r="A2304" t="inlineStr">
        <is>
          <t xml:space="preserve">house </t>
        </is>
      </c>
      <c r="B2304">
        <f>VLOOKUP(1087,Requirements!A2:B2967,2,FALSE)</f>
        <v/>
      </c>
    </row>
    <row r="2305">
      <c r="A2305" t="inlineStr">
        <is>
          <t xml:space="preserve">house </t>
        </is>
      </c>
      <c r="B2305">
        <f>VLOOKUP(1089,Requirements!A2:B2967,2,FALSE)</f>
        <v/>
      </c>
    </row>
    <row r="2306">
      <c r="A2306" t="inlineStr">
        <is>
          <t xml:space="preserve">house </t>
        </is>
      </c>
      <c r="B2306">
        <f>VLOOKUP(1116,Requirements!A2:B2967,2,FALSE)</f>
        <v/>
      </c>
    </row>
    <row r="2307">
      <c r="A2307" t="inlineStr">
        <is>
          <t xml:space="preserve">house </t>
        </is>
      </c>
      <c r="B2307">
        <f>VLOOKUP(1117,Requirements!A2:B2967,2,FALSE)</f>
        <v/>
      </c>
    </row>
    <row r="2308">
      <c r="A2308" t="inlineStr">
        <is>
          <t xml:space="preserve">house </t>
        </is>
      </c>
      <c r="B2308">
        <f>VLOOKUP(1130,Requirements!A2:B2967,2,FALSE)</f>
        <v/>
      </c>
    </row>
    <row r="2309">
      <c r="A2309" t="inlineStr">
        <is>
          <t xml:space="preserve">house </t>
        </is>
      </c>
      <c r="B2309">
        <f>VLOOKUP(1139,Requirements!A2:B2967,2,FALSE)</f>
        <v/>
      </c>
    </row>
    <row r="2310">
      <c r="A2310" t="inlineStr">
        <is>
          <t xml:space="preserve">house </t>
        </is>
      </c>
      <c r="B2310">
        <f>VLOOKUP(1143,Requirements!A2:B2967,2,FALSE)</f>
        <v/>
      </c>
    </row>
    <row r="2311">
      <c r="A2311" t="inlineStr">
        <is>
          <t xml:space="preserve">house </t>
        </is>
      </c>
      <c r="B2311">
        <f>VLOOKUP(1177,Requirements!A2:B2967,2,FALSE)</f>
        <v/>
      </c>
    </row>
    <row r="2312">
      <c r="A2312" t="inlineStr">
        <is>
          <t xml:space="preserve">house </t>
        </is>
      </c>
      <c r="B2312">
        <f>VLOOKUP(1178,Requirements!A2:B2967,2,FALSE)</f>
        <v/>
      </c>
    </row>
    <row r="2313">
      <c r="A2313" t="inlineStr">
        <is>
          <t xml:space="preserve">house </t>
        </is>
      </c>
      <c r="B2313">
        <f>VLOOKUP(1182,Requirements!A2:B2967,2,FALSE)</f>
        <v/>
      </c>
    </row>
    <row r="2314">
      <c r="A2314" t="inlineStr">
        <is>
          <t xml:space="preserve">house </t>
        </is>
      </c>
      <c r="B2314">
        <f>VLOOKUP(1183,Requirements!A2:B2967,2,FALSE)</f>
        <v/>
      </c>
    </row>
    <row r="2315">
      <c r="A2315" t="inlineStr">
        <is>
          <t xml:space="preserve">house </t>
        </is>
      </c>
      <c r="B2315">
        <f>VLOOKUP(1206,Requirements!A2:B2967,2,FALSE)</f>
        <v/>
      </c>
    </row>
    <row r="2316">
      <c r="A2316" t="inlineStr">
        <is>
          <t xml:space="preserve">house </t>
        </is>
      </c>
      <c r="B2316">
        <f>VLOOKUP(1208,Requirements!A2:B2967,2,FALSE)</f>
        <v/>
      </c>
    </row>
    <row r="2317">
      <c r="A2317" t="inlineStr">
        <is>
          <t xml:space="preserve">house </t>
        </is>
      </c>
      <c r="B2317">
        <f>VLOOKUP(1222,Requirements!A2:B2967,2,FALSE)</f>
        <v/>
      </c>
    </row>
    <row r="2318">
      <c r="A2318" t="inlineStr">
        <is>
          <t xml:space="preserve">house </t>
        </is>
      </c>
      <c r="B2318">
        <f>VLOOKUP(1224,Requirements!A2:B2967,2,FALSE)</f>
        <v/>
      </c>
    </row>
    <row r="2319">
      <c r="A2319" t="inlineStr">
        <is>
          <t xml:space="preserve">house </t>
        </is>
      </c>
      <c r="B2319">
        <f>VLOOKUP(1228,Requirements!A2:B2967,2,FALSE)</f>
        <v/>
      </c>
    </row>
    <row r="2320">
      <c r="A2320" t="inlineStr">
        <is>
          <t xml:space="preserve">house </t>
        </is>
      </c>
      <c r="B2320">
        <f>VLOOKUP(1241,Requirements!A2:B2967,2,FALSE)</f>
        <v/>
      </c>
    </row>
    <row r="2321">
      <c r="A2321" t="inlineStr">
        <is>
          <t xml:space="preserve">house </t>
        </is>
      </c>
      <c r="B2321">
        <f>VLOOKUP(1247,Requirements!A2:B2967,2,FALSE)</f>
        <v/>
      </c>
    </row>
    <row r="2322">
      <c r="A2322" t="inlineStr">
        <is>
          <t xml:space="preserve">house </t>
        </is>
      </c>
      <c r="B2322">
        <f>VLOOKUP(1249,Requirements!A2:B2967,2,FALSE)</f>
        <v/>
      </c>
    </row>
    <row r="2323">
      <c r="A2323" t="inlineStr">
        <is>
          <t xml:space="preserve">house </t>
        </is>
      </c>
      <c r="B2323">
        <f>VLOOKUP(1250,Requirements!A2:B2967,2,FALSE)</f>
        <v/>
      </c>
    </row>
    <row r="2324">
      <c r="A2324" t="inlineStr">
        <is>
          <t xml:space="preserve">house </t>
        </is>
      </c>
      <c r="B2324">
        <f>VLOOKUP(1253,Requirements!A2:B2967,2,FALSE)</f>
        <v/>
      </c>
    </row>
    <row r="2325">
      <c r="A2325" t="inlineStr">
        <is>
          <t xml:space="preserve">house </t>
        </is>
      </c>
      <c r="B2325">
        <f>VLOOKUP(1259,Requirements!A2:B2967,2,FALSE)</f>
        <v/>
      </c>
    </row>
    <row r="2326">
      <c r="A2326" t="inlineStr">
        <is>
          <t xml:space="preserve">house </t>
        </is>
      </c>
      <c r="B2326">
        <f>VLOOKUP(1273,Requirements!A2:B2967,2,FALSE)</f>
        <v/>
      </c>
    </row>
    <row r="2327">
      <c r="A2327" t="inlineStr">
        <is>
          <t xml:space="preserve">house </t>
        </is>
      </c>
      <c r="B2327">
        <f>VLOOKUP(1324,Requirements!A2:B2967,2,FALSE)</f>
        <v/>
      </c>
    </row>
    <row r="2328">
      <c r="A2328" t="inlineStr">
        <is>
          <t xml:space="preserve">house </t>
        </is>
      </c>
      <c r="B2328">
        <f>VLOOKUP(1337,Requirements!A2:B2967,2,FALSE)</f>
        <v/>
      </c>
    </row>
    <row r="2329">
      <c r="A2329" t="inlineStr">
        <is>
          <t xml:space="preserve">house </t>
        </is>
      </c>
      <c r="B2329">
        <f>VLOOKUP(1338,Requirements!A2:B2967,2,FALSE)</f>
        <v/>
      </c>
    </row>
    <row r="2330">
      <c r="A2330" t="inlineStr">
        <is>
          <t xml:space="preserve">house </t>
        </is>
      </c>
      <c r="B2330">
        <f>VLOOKUP(1356,Requirements!A2:B2967,2,FALSE)</f>
        <v/>
      </c>
    </row>
    <row r="2331">
      <c r="A2331" t="inlineStr">
        <is>
          <t xml:space="preserve">house </t>
        </is>
      </c>
      <c r="B2331">
        <f>VLOOKUP(1358,Requirements!A2:B2967,2,FALSE)</f>
        <v/>
      </c>
    </row>
    <row r="2332">
      <c r="A2332" t="inlineStr">
        <is>
          <t xml:space="preserve">house </t>
        </is>
      </c>
      <c r="B2332">
        <f>VLOOKUP(1362,Requirements!A2:B2967,2,FALSE)</f>
        <v/>
      </c>
    </row>
    <row r="2333">
      <c r="A2333" t="inlineStr">
        <is>
          <t xml:space="preserve">house </t>
        </is>
      </c>
      <c r="B2333">
        <f>VLOOKUP(1379,Requirements!A2:B2967,2,FALSE)</f>
        <v/>
      </c>
    </row>
    <row r="2334">
      <c r="A2334" t="inlineStr">
        <is>
          <t xml:space="preserve">house </t>
        </is>
      </c>
      <c r="B2334">
        <f>VLOOKUP(1382,Requirements!A2:B2967,2,FALSE)</f>
        <v/>
      </c>
    </row>
    <row r="2335">
      <c r="A2335" t="inlineStr">
        <is>
          <t xml:space="preserve">house </t>
        </is>
      </c>
      <c r="B2335">
        <f>VLOOKUP(1388,Requirements!A2:B2967,2,FALSE)</f>
        <v/>
      </c>
    </row>
    <row r="2336">
      <c r="A2336" t="inlineStr">
        <is>
          <t xml:space="preserve">house </t>
        </is>
      </c>
      <c r="B2336">
        <f>VLOOKUP(1404,Requirements!A2:B2967,2,FALSE)</f>
        <v/>
      </c>
    </row>
    <row r="2337">
      <c r="A2337" t="inlineStr">
        <is>
          <t xml:space="preserve">house </t>
        </is>
      </c>
      <c r="B2337">
        <f>VLOOKUP(1409,Requirements!A2:B2967,2,FALSE)</f>
        <v/>
      </c>
    </row>
    <row r="2338">
      <c r="A2338" t="inlineStr">
        <is>
          <t xml:space="preserve">house </t>
        </is>
      </c>
      <c r="B2338">
        <f>VLOOKUP(1413,Requirements!A2:B2967,2,FALSE)</f>
        <v/>
      </c>
    </row>
    <row r="2339">
      <c r="A2339" t="inlineStr">
        <is>
          <t xml:space="preserve">house </t>
        </is>
      </c>
      <c r="B2339">
        <f>VLOOKUP(1427,Requirements!A2:B2967,2,FALSE)</f>
        <v/>
      </c>
    </row>
    <row r="2340">
      <c r="A2340" t="inlineStr">
        <is>
          <t xml:space="preserve">house </t>
        </is>
      </c>
      <c r="B2340">
        <f>VLOOKUP(1430,Requirements!A2:B2967,2,FALSE)</f>
        <v/>
      </c>
    </row>
    <row r="2341">
      <c r="A2341" t="inlineStr">
        <is>
          <t xml:space="preserve">house </t>
        </is>
      </c>
      <c r="B2341">
        <f>VLOOKUP(1433,Requirements!A2:B2967,2,FALSE)</f>
        <v/>
      </c>
    </row>
    <row r="2342">
      <c r="A2342" t="inlineStr">
        <is>
          <t xml:space="preserve">house </t>
        </is>
      </c>
      <c r="B2342">
        <f>VLOOKUP(1435,Requirements!A2:B2967,2,FALSE)</f>
        <v/>
      </c>
    </row>
    <row r="2343">
      <c r="A2343" t="inlineStr">
        <is>
          <t xml:space="preserve">house </t>
        </is>
      </c>
      <c r="B2343">
        <f>VLOOKUP(1447,Requirements!A2:B2967,2,FALSE)</f>
        <v/>
      </c>
    </row>
    <row r="2344">
      <c r="A2344" t="inlineStr">
        <is>
          <t xml:space="preserve">house </t>
        </is>
      </c>
      <c r="B2344">
        <f>VLOOKUP(1465,Requirements!A2:B2967,2,FALSE)</f>
        <v/>
      </c>
    </row>
    <row r="2345">
      <c r="A2345" t="inlineStr">
        <is>
          <t xml:space="preserve">house </t>
        </is>
      </c>
      <c r="B2345">
        <f>VLOOKUP(1468,Requirements!A2:B2967,2,FALSE)</f>
        <v/>
      </c>
    </row>
    <row r="2346">
      <c r="A2346" t="inlineStr">
        <is>
          <t xml:space="preserve">house </t>
        </is>
      </c>
      <c r="B2346">
        <f>VLOOKUP(1469,Requirements!A2:B2967,2,FALSE)</f>
        <v/>
      </c>
    </row>
    <row r="2347">
      <c r="A2347" t="inlineStr">
        <is>
          <t xml:space="preserve">house </t>
        </is>
      </c>
      <c r="B2347">
        <f>VLOOKUP(1474,Requirements!A2:B2967,2,FALSE)</f>
        <v/>
      </c>
    </row>
    <row r="2348">
      <c r="A2348" t="inlineStr">
        <is>
          <t xml:space="preserve">house </t>
        </is>
      </c>
      <c r="B2348">
        <f>VLOOKUP(1479,Requirements!A2:B2967,2,FALSE)</f>
        <v/>
      </c>
    </row>
    <row r="2349">
      <c r="A2349" t="inlineStr">
        <is>
          <t xml:space="preserve">house </t>
        </is>
      </c>
      <c r="B2349">
        <f>VLOOKUP(1481,Requirements!A2:B2967,2,FALSE)</f>
        <v/>
      </c>
    </row>
    <row r="2350">
      <c r="A2350" t="inlineStr">
        <is>
          <t xml:space="preserve">house </t>
        </is>
      </c>
      <c r="B2350">
        <f>VLOOKUP(1494,Requirements!A2:B2967,2,FALSE)</f>
        <v/>
      </c>
    </row>
    <row r="2351">
      <c r="A2351" t="inlineStr">
        <is>
          <t xml:space="preserve">house </t>
        </is>
      </c>
      <c r="B2351">
        <f>VLOOKUP(1502,Requirements!A2:B2967,2,FALSE)</f>
        <v/>
      </c>
    </row>
    <row r="2352">
      <c r="A2352" t="inlineStr">
        <is>
          <t xml:space="preserve">house </t>
        </is>
      </c>
      <c r="B2352">
        <f>VLOOKUP(1515,Requirements!A2:B2967,2,FALSE)</f>
        <v/>
      </c>
    </row>
    <row r="2353">
      <c r="A2353" t="inlineStr">
        <is>
          <t xml:space="preserve">house </t>
        </is>
      </c>
      <c r="B2353">
        <f>VLOOKUP(1527,Requirements!A2:B2967,2,FALSE)</f>
        <v/>
      </c>
    </row>
    <row r="2354">
      <c r="A2354" t="inlineStr">
        <is>
          <t xml:space="preserve">house </t>
        </is>
      </c>
      <c r="B2354">
        <f>VLOOKUP(1551,Requirements!A2:B2967,2,FALSE)</f>
        <v/>
      </c>
    </row>
    <row r="2355">
      <c r="A2355" t="inlineStr">
        <is>
          <t xml:space="preserve">house </t>
        </is>
      </c>
      <c r="B2355">
        <f>VLOOKUP(1552,Requirements!A2:B2967,2,FALSE)</f>
        <v/>
      </c>
    </row>
    <row r="2356">
      <c r="A2356" t="inlineStr">
        <is>
          <t xml:space="preserve">house </t>
        </is>
      </c>
      <c r="B2356">
        <f>VLOOKUP(1553,Requirements!A2:B2967,2,FALSE)</f>
        <v/>
      </c>
    </row>
    <row r="2357">
      <c r="A2357" t="inlineStr">
        <is>
          <t xml:space="preserve">house </t>
        </is>
      </c>
      <c r="B2357">
        <f>VLOOKUP(1558,Requirements!A2:B2967,2,FALSE)</f>
        <v/>
      </c>
    </row>
    <row r="2358">
      <c r="A2358" t="inlineStr">
        <is>
          <t xml:space="preserve">house </t>
        </is>
      </c>
      <c r="B2358">
        <f>VLOOKUP(1561,Requirements!A2:B2967,2,FALSE)</f>
        <v/>
      </c>
    </row>
    <row r="2359">
      <c r="A2359" t="inlineStr">
        <is>
          <t xml:space="preserve">house </t>
        </is>
      </c>
      <c r="B2359">
        <f>VLOOKUP(1614,Requirements!A2:B2967,2,FALSE)</f>
        <v/>
      </c>
    </row>
    <row r="2360">
      <c r="A2360" t="inlineStr">
        <is>
          <t xml:space="preserve">house </t>
        </is>
      </c>
      <c r="B2360">
        <f>VLOOKUP(1619,Requirements!A2:B2967,2,FALSE)</f>
        <v/>
      </c>
    </row>
    <row r="2361">
      <c r="A2361" t="inlineStr">
        <is>
          <t xml:space="preserve">house </t>
        </is>
      </c>
      <c r="B2361">
        <f>VLOOKUP(1639,Requirements!A2:B2967,2,FALSE)</f>
        <v/>
      </c>
    </row>
    <row r="2362">
      <c r="A2362" t="inlineStr">
        <is>
          <t xml:space="preserve">house </t>
        </is>
      </c>
      <c r="B2362">
        <f>VLOOKUP(1640,Requirements!A2:B2967,2,FALSE)</f>
        <v/>
      </c>
    </row>
    <row r="2363">
      <c r="A2363" t="inlineStr">
        <is>
          <t xml:space="preserve">house </t>
        </is>
      </c>
      <c r="B2363">
        <f>VLOOKUP(1645,Requirements!A2:B2967,2,FALSE)</f>
        <v/>
      </c>
    </row>
    <row r="2364">
      <c r="A2364" t="inlineStr">
        <is>
          <t xml:space="preserve">house </t>
        </is>
      </c>
      <c r="B2364">
        <f>VLOOKUP(1653,Requirements!A2:B2967,2,FALSE)</f>
        <v/>
      </c>
    </row>
    <row r="2365">
      <c r="A2365" t="inlineStr">
        <is>
          <t xml:space="preserve">house </t>
        </is>
      </c>
      <c r="B2365">
        <f>VLOOKUP(1659,Requirements!A2:B2967,2,FALSE)</f>
        <v/>
      </c>
    </row>
    <row r="2366">
      <c r="A2366" t="inlineStr">
        <is>
          <t xml:space="preserve">house </t>
        </is>
      </c>
      <c r="B2366">
        <f>VLOOKUP(1661,Requirements!A2:B2967,2,FALSE)</f>
        <v/>
      </c>
    </row>
    <row r="2367">
      <c r="A2367" t="inlineStr">
        <is>
          <t xml:space="preserve">house </t>
        </is>
      </c>
      <c r="B2367">
        <f>VLOOKUP(1663,Requirements!A2:B2967,2,FALSE)</f>
        <v/>
      </c>
    </row>
    <row r="2368">
      <c r="A2368" t="inlineStr">
        <is>
          <t xml:space="preserve">house </t>
        </is>
      </c>
      <c r="B2368">
        <f>VLOOKUP(1675,Requirements!A2:B2967,2,FALSE)</f>
        <v/>
      </c>
    </row>
    <row r="2369">
      <c r="A2369" t="inlineStr">
        <is>
          <t xml:space="preserve">house </t>
        </is>
      </c>
      <c r="B2369">
        <f>VLOOKUP(1685,Requirements!A2:B2967,2,FALSE)</f>
        <v/>
      </c>
    </row>
    <row r="2370">
      <c r="A2370" t="inlineStr">
        <is>
          <t xml:space="preserve">house </t>
        </is>
      </c>
      <c r="B2370">
        <f>VLOOKUP(1687,Requirements!A2:B2967,2,FALSE)</f>
        <v/>
      </c>
    </row>
    <row r="2371">
      <c r="A2371" t="inlineStr">
        <is>
          <t xml:space="preserve">house </t>
        </is>
      </c>
      <c r="B2371">
        <f>VLOOKUP(1688,Requirements!A2:B2967,2,FALSE)</f>
        <v/>
      </c>
    </row>
    <row r="2372">
      <c r="A2372" t="inlineStr">
        <is>
          <t xml:space="preserve">house </t>
        </is>
      </c>
      <c r="B2372">
        <f>VLOOKUP(1695,Requirements!A2:B2967,2,FALSE)</f>
        <v/>
      </c>
    </row>
    <row r="2373">
      <c r="A2373" t="inlineStr">
        <is>
          <t xml:space="preserve">house </t>
        </is>
      </c>
      <c r="B2373">
        <f>VLOOKUP(1739,Requirements!A2:B2967,2,FALSE)</f>
        <v/>
      </c>
    </row>
    <row r="2374">
      <c r="A2374" t="inlineStr">
        <is>
          <t xml:space="preserve">house </t>
        </is>
      </c>
      <c r="B2374">
        <f>VLOOKUP(1744,Requirements!A2:B2967,2,FALSE)</f>
        <v/>
      </c>
    </row>
    <row r="2375">
      <c r="A2375" t="inlineStr">
        <is>
          <t xml:space="preserve">house </t>
        </is>
      </c>
      <c r="B2375">
        <f>VLOOKUP(1751,Requirements!A2:B2967,2,FALSE)</f>
        <v/>
      </c>
    </row>
    <row r="2376">
      <c r="A2376" t="inlineStr">
        <is>
          <t xml:space="preserve">house </t>
        </is>
      </c>
      <c r="B2376">
        <f>VLOOKUP(1757,Requirements!A2:B2967,2,FALSE)</f>
        <v/>
      </c>
    </row>
    <row r="2377">
      <c r="A2377" t="inlineStr">
        <is>
          <t xml:space="preserve">house </t>
        </is>
      </c>
      <c r="B2377">
        <f>VLOOKUP(1767,Requirements!A2:B2967,2,FALSE)</f>
        <v/>
      </c>
    </row>
    <row r="2378">
      <c r="A2378" t="inlineStr">
        <is>
          <t xml:space="preserve">house </t>
        </is>
      </c>
      <c r="B2378">
        <f>VLOOKUP(1776,Requirements!A2:B2967,2,FALSE)</f>
        <v/>
      </c>
    </row>
    <row r="2379">
      <c r="A2379" t="inlineStr">
        <is>
          <t xml:space="preserve">house </t>
        </is>
      </c>
      <c r="B2379">
        <f>VLOOKUP(1779,Requirements!A2:B2967,2,FALSE)</f>
        <v/>
      </c>
    </row>
    <row r="2380">
      <c r="A2380" t="inlineStr">
        <is>
          <t xml:space="preserve">house </t>
        </is>
      </c>
      <c r="B2380">
        <f>VLOOKUP(1787,Requirements!A2:B2967,2,FALSE)</f>
        <v/>
      </c>
    </row>
    <row r="2381">
      <c r="A2381" t="inlineStr">
        <is>
          <t xml:space="preserve">house </t>
        </is>
      </c>
      <c r="B2381">
        <f>VLOOKUP(1823,Requirements!A2:B2967,2,FALSE)</f>
        <v/>
      </c>
    </row>
    <row r="2382">
      <c r="A2382" t="inlineStr">
        <is>
          <t xml:space="preserve">house </t>
        </is>
      </c>
      <c r="B2382">
        <f>VLOOKUP(1839,Requirements!A2:B2967,2,FALSE)</f>
        <v/>
      </c>
    </row>
    <row r="2383">
      <c r="A2383" t="inlineStr">
        <is>
          <t xml:space="preserve">house </t>
        </is>
      </c>
      <c r="B2383">
        <f>VLOOKUP(1849,Requirements!A2:B2967,2,FALSE)</f>
        <v/>
      </c>
    </row>
    <row r="2384">
      <c r="A2384" t="inlineStr">
        <is>
          <t xml:space="preserve">house </t>
        </is>
      </c>
      <c r="B2384">
        <f>VLOOKUP(1855,Requirements!A2:B2967,2,FALSE)</f>
        <v/>
      </c>
    </row>
    <row r="2385">
      <c r="A2385" t="inlineStr">
        <is>
          <t xml:space="preserve">house </t>
        </is>
      </c>
      <c r="B2385">
        <f>VLOOKUP(1858,Requirements!A2:B2967,2,FALSE)</f>
        <v/>
      </c>
    </row>
    <row r="2386">
      <c r="A2386" t="inlineStr">
        <is>
          <t xml:space="preserve">house </t>
        </is>
      </c>
      <c r="B2386">
        <f>VLOOKUP(1862,Requirements!A2:B2967,2,FALSE)</f>
        <v/>
      </c>
    </row>
    <row r="2387">
      <c r="A2387" t="inlineStr">
        <is>
          <t xml:space="preserve">house </t>
        </is>
      </c>
      <c r="B2387">
        <f>VLOOKUP(1864,Requirements!A2:B2967,2,FALSE)</f>
        <v/>
      </c>
    </row>
    <row r="2388">
      <c r="A2388" t="inlineStr">
        <is>
          <t xml:space="preserve">house </t>
        </is>
      </c>
      <c r="B2388">
        <f>VLOOKUP(1865,Requirements!A2:B2967,2,FALSE)</f>
        <v/>
      </c>
    </row>
    <row r="2389">
      <c r="A2389" t="inlineStr">
        <is>
          <t xml:space="preserve">house </t>
        </is>
      </c>
      <c r="B2389">
        <f>VLOOKUP(1873,Requirements!A2:B2967,2,FALSE)</f>
        <v/>
      </c>
    </row>
    <row r="2390">
      <c r="A2390" t="inlineStr">
        <is>
          <t xml:space="preserve">house </t>
        </is>
      </c>
      <c r="B2390">
        <f>VLOOKUP(1889,Requirements!A2:B2967,2,FALSE)</f>
        <v/>
      </c>
    </row>
    <row r="2391">
      <c r="A2391" t="inlineStr">
        <is>
          <t xml:space="preserve">house </t>
        </is>
      </c>
      <c r="B2391">
        <f>VLOOKUP(1904,Requirements!A2:B2967,2,FALSE)</f>
        <v/>
      </c>
    </row>
    <row r="2392">
      <c r="A2392" t="inlineStr">
        <is>
          <t xml:space="preserve">house </t>
        </is>
      </c>
      <c r="B2392">
        <f>VLOOKUP(1908,Requirements!A2:B2967,2,FALSE)</f>
        <v/>
      </c>
    </row>
    <row r="2393">
      <c r="A2393" t="inlineStr">
        <is>
          <t xml:space="preserve">house </t>
        </is>
      </c>
      <c r="B2393">
        <f>VLOOKUP(1910,Requirements!A2:B2967,2,FALSE)</f>
        <v/>
      </c>
    </row>
    <row r="2394">
      <c r="A2394" t="inlineStr">
        <is>
          <t xml:space="preserve">house </t>
        </is>
      </c>
      <c r="B2394">
        <f>VLOOKUP(1920,Requirements!A2:B2967,2,FALSE)</f>
        <v/>
      </c>
    </row>
    <row r="2395">
      <c r="A2395" t="inlineStr">
        <is>
          <t xml:space="preserve">house </t>
        </is>
      </c>
      <c r="B2395">
        <f>VLOOKUP(1922,Requirements!A2:B2967,2,FALSE)</f>
        <v/>
      </c>
    </row>
    <row r="2396">
      <c r="A2396" t="inlineStr">
        <is>
          <t xml:space="preserve">house </t>
        </is>
      </c>
      <c r="B2396">
        <f>VLOOKUP(1927,Requirements!A2:B2967,2,FALSE)</f>
        <v/>
      </c>
    </row>
    <row r="2397">
      <c r="A2397" t="inlineStr">
        <is>
          <t xml:space="preserve">house </t>
        </is>
      </c>
      <c r="B2397">
        <f>VLOOKUP(1937,Requirements!A2:B2967,2,FALSE)</f>
        <v/>
      </c>
    </row>
    <row r="2398">
      <c r="A2398" t="inlineStr">
        <is>
          <t xml:space="preserve">house </t>
        </is>
      </c>
      <c r="B2398">
        <f>VLOOKUP(1940,Requirements!A2:B2967,2,FALSE)</f>
        <v/>
      </c>
    </row>
    <row r="2399">
      <c r="A2399" t="inlineStr">
        <is>
          <t xml:space="preserve">house </t>
        </is>
      </c>
      <c r="B2399">
        <f>VLOOKUP(1942,Requirements!A2:B2967,2,FALSE)</f>
        <v/>
      </c>
    </row>
    <row r="2400">
      <c r="A2400" t="inlineStr">
        <is>
          <t xml:space="preserve">house </t>
        </is>
      </c>
      <c r="B2400">
        <f>VLOOKUP(1943,Requirements!A2:B2967,2,FALSE)</f>
        <v/>
      </c>
    </row>
    <row r="2401">
      <c r="A2401" t="inlineStr">
        <is>
          <t xml:space="preserve">house </t>
        </is>
      </c>
      <c r="B2401">
        <f>VLOOKUP(1968,Requirements!A2:B2967,2,FALSE)</f>
        <v/>
      </c>
    </row>
    <row r="2402">
      <c r="A2402" t="inlineStr">
        <is>
          <t xml:space="preserve">house </t>
        </is>
      </c>
      <c r="B2402">
        <f>VLOOKUP(1969,Requirements!A2:B2967,2,FALSE)</f>
        <v/>
      </c>
    </row>
    <row r="2403">
      <c r="A2403" t="inlineStr">
        <is>
          <t xml:space="preserve">house </t>
        </is>
      </c>
      <c r="B2403">
        <f>VLOOKUP(1973,Requirements!A2:B2967,2,FALSE)</f>
        <v/>
      </c>
    </row>
    <row r="2404">
      <c r="A2404" t="inlineStr">
        <is>
          <t xml:space="preserve">house </t>
        </is>
      </c>
      <c r="B2404">
        <f>VLOOKUP(1985,Requirements!A2:B2967,2,FALSE)</f>
        <v/>
      </c>
    </row>
    <row r="2405">
      <c r="A2405" t="inlineStr">
        <is>
          <t xml:space="preserve">house </t>
        </is>
      </c>
      <c r="B2405">
        <f>VLOOKUP(2008,Requirements!A2:B2967,2,FALSE)</f>
        <v/>
      </c>
    </row>
    <row r="2406">
      <c r="A2406" t="inlineStr">
        <is>
          <t xml:space="preserve">house </t>
        </is>
      </c>
      <c r="B2406">
        <f>VLOOKUP(2036,Requirements!A2:B2967,2,FALSE)</f>
        <v/>
      </c>
    </row>
    <row r="2407">
      <c r="A2407" t="inlineStr">
        <is>
          <t xml:space="preserve">house </t>
        </is>
      </c>
      <c r="B2407">
        <f>VLOOKUP(2044,Requirements!A2:B2967,2,FALSE)</f>
        <v/>
      </c>
    </row>
    <row r="2408">
      <c r="A2408" t="inlineStr">
        <is>
          <t xml:space="preserve">house </t>
        </is>
      </c>
      <c r="B2408">
        <f>VLOOKUP(2051,Requirements!A2:B2967,2,FALSE)</f>
        <v/>
      </c>
    </row>
    <row r="2409">
      <c r="A2409" t="inlineStr">
        <is>
          <t xml:space="preserve">house </t>
        </is>
      </c>
      <c r="B2409">
        <f>VLOOKUP(2091,Requirements!A2:B2967,2,FALSE)</f>
        <v/>
      </c>
    </row>
    <row r="2410">
      <c r="A2410" t="inlineStr">
        <is>
          <t xml:space="preserve">house </t>
        </is>
      </c>
      <c r="B2410">
        <f>VLOOKUP(2104,Requirements!A2:B2967,2,FALSE)</f>
        <v/>
      </c>
    </row>
    <row r="2411">
      <c r="A2411" t="inlineStr">
        <is>
          <t xml:space="preserve">house </t>
        </is>
      </c>
      <c r="B2411">
        <f>VLOOKUP(2127,Requirements!A2:B2967,2,FALSE)</f>
        <v/>
      </c>
    </row>
    <row r="2412">
      <c r="A2412" t="inlineStr">
        <is>
          <t xml:space="preserve">house </t>
        </is>
      </c>
      <c r="B2412">
        <f>VLOOKUP(2128,Requirements!A2:B2967,2,FALSE)</f>
        <v/>
      </c>
    </row>
    <row r="2413">
      <c r="A2413" t="inlineStr">
        <is>
          <t xml:space="preserve">house </t>
        </is>
      </c>
      <c r="B2413">
        <f>VLOOKUP(2148,Requirements!A2:B2967,2,FALSE)</f>
        <v/>
      </c>
    </row>
    <row r="2414">
      <c r="A2414" t="inlineStr">
        <is>
          <t xml:space="preserve">house </t>
        </is>
      </c>
      <c r="B2414">
        <f>VLOOKUP(2149,Requirements!A2:B2967,2,FALSE)</f>
        <v/>
      </c>
    </row>
    <row r="2415">
      <c r="A2415" t="inlineStr">
        <is>
          <t xml:space="preserve">house </t>
        </is>
      </c>
      <c r="B2415">
        <f>VLOOKUP(2152,Requirements!A2:B2967,2,FALSE)</f>
        <v/>
      </c>
    </row>
    <row r="2416">
      <c r="A2416" t="inlineStr">
        <is>
          <t xml:space="preserve">house </t>
        </is>
      </c>
      <c r="B2416">
        <f>VLOOKUP(2156,Requirements!A2:B2967,2,FALSE)</f>
        <v/>
      </c>
    </row>
    <row r="2417">
      <c r="A2417" t="inlineStr">
        <is>
          <t xml:space="preserve">house </t>
        </is>
      </c>
      <c r="B2417">
        <f>VLOOKUP(2159,Requirements!A2:B2967,2,FALSE)</f>
        <v/>
      </c>
    </row>
    <row r="2418">
      <c r="A2418" t="inlineStr">
        <is>
          <t xml:space="preserve">house </t>
        </is>
      </c>
      <c r="B2418">
        <f>VLOOKUP(2161,Requirements!A2:B2967,2,FALSE)</f>
        <v/>
      </c>
    </row>
    <row r="2419">
      <c r="A2419" t="inlineStr">
        <is>
          <t xml:space="preserve">house </t>
        </is>
      </c>
      <c r="B2419">
        <f>VLOOKUP(2174,Requirements!A2:B2967,2,FALSE)</f>
        <v/>
      </c>
    </row>
    <row r="2420">
      <c r="A2420" t="inlineStr">
        <is>
          <t xml:space="preserve">house </t>
        </is>
      </c>
      <c r="B2420">
        <f>VLOOKUP(2175,Requirements!A2:B2967,2,FALSE)</f>
        <v/>
      </c>
    </row>
    <row r="2421">
      <c r="A2421" t="inlineStr">
        <is>
          <t xml:space="preserve">house </t>
        </is>
      </c>
      <c r="B2421">
        <f>VLOOKUP(2192,Requirements!A2:B2967,2,FALSE)</f>
        <v/>
      </c>
    </row>
    <row r="2422">
      <c r="A2422" t="inlineStr">
        <is>
          <t xml:space="preserve">house </t>
        </is>
      </c>
      <c r="B2422">
        <f>VLOOKUP(2215,Requirements!A2:B2967,2,FALSE)</f>
        <v/>
      </c>
    </row>
    <row r="2423">
      <c r="A2423" t="inlineStr">
        <is>
          <t xml:space="preserve">house </t>
        </is>
      </c>
      <c r="B2423">
        <f>VLOOKUP(2216,Requirements!A2:B2967,2,FALSE)</f>
        <v/>
      </c>
    </row>
    <row r="2424">
      <c r="A2424" t="inlineStr">
        <is>
          <t xml:space="preserve">house </t>
        </is>
      </c>
      <c r="B2424">
        <f>VLOOKUP(2223,Requirements!A2:B2967,2,FALSE)</f>
        <v/>
      </c>
    </row>
    <row r="2425">
      <c r="A2425" t="inlineStr">
        <is>
          <t xml:space="preserve">house </t>
        </is>
      </c>
      <c r="B2425">
        <f>VLOOKUP(2231,Requirements!A2:B2967,2,FALSE)</f>
        <v/>
      </c>
    </row>
    <row r="2426">
      <c r="A2426" t="inlineStr">
        <is>
          <t xml:space="preserve">house </t>
        </is>
      </c>
      <c r="B2426">
        <f>VLOOKUP(2235,Requirements!A2:B2967,2,FALSE)</f>
        <v/>
      </c>
    </row>
    <row r="2427">
      <c r="A2427" t="inlineStr">
        <is>
          <t xml:space="preserve">house </t>
        </is>
      </c>
      <c r="B2427">
        <f>VLOOKUP(2237,Requirements!A2:B2967,2,FALSE)</f>
        <v/>
      </c>
    </row>
    <row r="2428">
      <c r="A2428" t="inlineStr">
        <is>
          <t xml:space="preserve">house </t>
        </is>
      </c>
      <c r="B2428">
        <f>VLOOKUP(2243,Requirements!A2:B2967,2,FALSE)</f>
        <v/>
      </c>
    </row>
    <row r="2429">
      <c r="A2429" t="inlineStr">
        <is>
          <t xml:space="preserve">house </t>
        </is>
      </c>
      <c r="B2429">
        <f>VLOOKUP(2244,Requirements!A2:B2967,2,FALSE)</f>
        <v/>
      </c>
    </row>
    <row r="2430">
      <c r="A2430" t="inlineStr">
        <is>
          <t xml:space="preserve">house </t>
        </is>
      </c>
      <c r="B2430">
        <f>VLOOKUP(2250,Requirements!A2:B2967,2,FALSE)</f>
        <v/>
      </c>
    </row>
    <row r="2431">
      <c r="A2431" t="inlineStr">
        <is>
          <t xml:space="preserve">house </t>
        </is>
      </c>
      <c r="B2431">
        <f>VLOOKUP(2263,Requirements!A2:B2967,2,FALSE)</f>
        <v/>
      </c>
    </row>
    <row r="2432">
      <c r="A2432" t="inlineStr">
        <is>
          <t xml:space="preserve">house </t>
        </is>
      </c>
      <c r="B2432">
        <f>VLOOKUP(2269,Requirements!A2:B2967,2,FALSE)</f>
        <v/>
      </c>
    </row>
    <row r="2433">
      <c r="A2433" t="inlineStr">
        <is>
          <t xml:space="preserve">house </t>
        </is>
      </c>
      <c r="B2433">
        <f>VLOOKUP(2273,Requirements!A2:B2967,2,FALSE)</f>
        <v/>
      </c>
    </row>
    <row r="2434">
      <c r="A2434" t="inlineStr">
        <is>
          <t xml:space="preserve">house </t>
        </is>
      </c>
      <c r="B2434">
        <f>VLOOKUP(2275,Requirements!A2:B2967,2,FALSE)</f>
        <v/>
      </c>
    </row>
    <row r="2435">
      <c r="A2435" t="inlineStr">
        <is>
          <t xml:space="preserve">house </t>
        </is>
      </c>
      <c r="B2435">
        <f>VLOOKUP(2279,Requirements!A2:B2967,2,FALSE)</f>
        <v/>
      </c>
    </row>
    <row r="2436">
      <c r="A2436" t="inlineStr">
        <is>
          <t xml:space="preserve">house </t>
        </is>
      </c>
      <c r="B2436">
        <f>VLOOKUP(2282,Requirements!A2:B2967,2,FALSE)</f>
        <v/>
      </c>
    </row>
    <row r="2437">
      <c r="A2437" t="inlineStr">
        <is>
          <t xml:space="preserve">house </t>
        </is>
      </c>
      <c r="B2437">
        <f>VLOOKUP(2285,Requirements!A2:B2967,2,FALSE)</f>
        <v/>
      </c>
    </row>
    <row r="2438">
      <c r="A2438" t="inlineStr">
        <is>
          <t xml:space="preserve">house </t>
        </is>
      </c>
      <c r="B2438">
        <f>VLOOKUP(2288,Requirements!A2:B2967,2,FALSE)</f>
        <v/>
      </c>
    </row>
    <row r="2439">
      <c r="A2439" t="inlineStr">
        <is>
          <t xml:space="preserve">house </t>
        </is>
      </c>
      <c r="B2439">
        <f>VLOOKUP(2289,Requirements!A2:B2967,2,FALSE)</f>
        <v/>
      </c>
    </row>
    <row r="2440">
      <c r="A2440" t="inlineStr">
        <is>
          <t xml:space="preserve">house </t>
        </is>
      </c>
      <c r="B2440">
        <f>VLOOKUP(2292,Requirements!A2:B2967,2,FALSE)</f>
        <v/>
      </c>
    </row>
    <row r="2441">
      <c r="A2441" t="inlineStr">
        <is>
          <t xml:space="preserve">house </t>
        </is>
      </c>
      <c r="B2441">
        <f>VLOOKUP(2315,Requirements!A2:B2967,2,FALSE)</f>
        <v/>
      </c>
    </row>
    <row r="2442">
      <c r="A2442" t="inlineStr">
        <is>
          <t xml:space="preserve">house </t>
        </is>
      </c>
      <c r="B2442">
        <f>VLOOKUP(2322,Requirements!A2:B2967,2,FALSE)</f>
        <v/>
      </c>
    </row>
    <row r="2443">
      <c r="A2443" t="inlineStr">
        <is>
          <t xml:space="preserve">house </t>
        </is>
      </c>
      <c r="B2443">
        <f>VLOOKUP(2330,Requirements!A2:B2967,2,FALSE)</f>
        <v/>
      </c>
    </row>
    <row r="2444">
      <c r="A2444" t="inlineStr">
        <is>
          <t xml:space="preserve">house </t>
        </is>
      </c>
      <c r="B2444">
        <f>VLOOKUP(2345,Requirements!A2:B2967,2,FALSE)</f>
        <v/>
      </c>
    </row>
    <row r="2445">
      <c r="A2445" t="inlineStr">
        <is>
          <t xml:space="preserve">house </t>
        </is>
      </c>
      <c r="B2445">
        <f>VLOOKUP(2346,Requirements!A2:B2967,2,FALSE)</f>
        <v/>
      </c>
    </row>
    <row r="2446">
      <c r="A2446" t="inlineStr">
        <is>
          <t xml:space="preserve">house </t>
        </is>
      </c>
      <c r="B2446">
        <f>VLOOKUP(2354,Requirements!A2:B2967,2,FALSE)</f>
        <v/>
      </c>
    </row>
    <row r="2447">
      <c r="A2447" t="inlineStr">
        <is>
          <t xml:space="preserve">house </t>
        </is>
      </c>
      <c r="B2447">
        <f>VLOOKUP(2367,Requirements!A2:B2967,2,FALSE)</f>
        <v/>
      </c>
    </row>
    <row r="2448">
      <c r="A2448" t="inlineStr">
        <is>
          <t xml:space="preserve">house </t>
        </is>
      </c>
      <c r="B2448">
        <f>VLOOKUP(2389,Requirements!A2:B2967,2,FALSE)</f>
        <v/>
      </c>
    </row>
    <row r="2449">
      <c r="A2449" t="inlineStr">
        <is>
          <t xml:space="preserve">house </t>
        </is>
      </c>
      <c r="B2449">
        <f>VLOOKUP(2392,Requirements!A2:B2967,2,FALSE)</f>
        <v/>
      </c>
    </row>
    <row r="2450">
      <c r="A2450" t="inlineStr">
        <is>
          <t xml:space="preserve">house </t>
        </is>
      </c>
      <c r="B2450">
        <f>VLOOKUP(2396,Requirements!A2:B2967,2,FALSE)</f>
        <v/>
      </c>
    </row>
    <row r="2451">
      <c r="A2451" t="inlineStr">
        <is>
          <t xml:space="preserve">house </t>
        </is>
      </c>
      <c r="B2451">
        <f>VLOOKUP(2398,Requirements!A2:B2967,2,FALSE)</f>
        <v/>
      </c>
    </row>
    <row r="2452">
      <c r="A2452" t="inlineStr">
        <is>
          <t xml:space="preserve">house </t>
        </is>
      </c>
      <c r="B2452">
        <f>VLOOKUP(2399,Requirements!A2:B2967,2,FALSE)</f>
        <v/>
      </c>
    </row>
    <row r="2453">
      <c r="A2453" t="inlineStr">
        <is>
          <t xml:space="preserve">house </t>
        </is>
      </c>
      <c r="B2453">
        <f>VLOOKUP(2400,Requirements!A2:B2967,2,FALSE)</f>
        <v/>
      </c>
    </row>
    <row r="2454">
      <c r="A2454" t="inlineStr">
        <is>
          <t xml:space="preserve">house </t>
        </is>
      </c>
      <c r="B2454">
        <f>VLOOKUP(2410,Requirements!A2:B2967,2,FALSE)</f>
        <v/>
      </c>
    </row>
    <row r="2455">
      <c r="A2455" t="inlineStr">
        <is>
          <t xml:space="preserve">house </t>
        </is>
      </c>
      <c r="B2455">
        <f>VLOOKUP(2415,Requirements!A2:B2967,2,FALSE)</f>
        <v/>
      </c>
    </row>
    <row r="2456">
      <c r="A2456" t="inlineStr">
        <is>
          <t xml:space="preserve">house </t>
        </is>
      </c>
      <c r="B2456">
        <f>VLOOKUP(2416,Requirements!A2:B2967,2,FALSE)</f>
        <v/>
      </c>
    </row>
    <row r="2457">
      <c r="A2457" t="inlineStr">
        <is>
          <t xml:space="preserve">house </t>
        </is>
      </c>
      <c r="B2457">
        <f>VLOOKUP(2420,Requirements!A2:B2967,2,FALSE)</f>
        <v/>
      </c>
    </row>
    <row r="2458">
      <c r="A2458" t="inlineStr">
        <is>
          <t xml:space="preserve">house </t>
        </is>
      </c>
      <c r="B2458">
        <f>VLOOKUP(2421,Requirements!A2:B2967,2,FALSE)</f>
        <v/>
      </c>
    </row>
    <row r="2459">
      <c r="A2459" t="inlineStr">
        <is>
          <t xml:space="preserve">house </t>
        </is>
      </c>
      <c r="B2459">
        <f>VLOOKUP(2425,Requirements!A2:B2967,2,FALSE)</f>
        <v/>
      </c>
    </row>
    <row r="2460">
      <c r="A2460" t="inlineStr">
        <is>
          <t xml:space="preserve">house </t>
        </is>
      </c>
      <c r="B2460">
        <f>VLOOKUP(2428,Requirements!A2:B2967,2,FALSE)</f>
        <v/>
      </c>
    </row>
    <row r="2461">
      <c r="A2461" t="inlineStr">
        <is>
          <t xml:space="preserve">house </t>
        </is>
      </c>
      <c r="B2461">
        <f>VLOOKUP(2440,Requirements!A2:B2967,2,FALSE)</f>
        <v/>
      </c>
    </row>
    <row r="2462">
      <c r="A2462" t="inlineStr">
        <is>
          <t xml:space="preserve">house </t>
        </is>
      </c>
      <c r="B2462">
        <f>VLOOKUP(2441,Requirements!A2:B2967,2,FALSE)</f>
        <v/>
      </c>
    </row>
    <row r="2463">
      <c r="A2463" t="inlineStr">
        <is>
          <t xml:space="preserve">house </t>
        </is>
      </c>
      <c r="B2463">
        <f>VLOOKUP(2455,Requirements!A2:B2967,2,FALSE)</f>
        <v/>
      </c>
    </row>
    <row r="2464">
      <c r="A2464" t="inlineStr">
        <is>
          <t xml:space="preserve">house </t>
        </is>
      </c>
      <c r="B2464">
        <f>VLOOKUP(2458,Requirements!A2:B2967,2,FALSE)</f>
        <v/>
      </c>
    </row>
    <row r="2465">
      <c r="A2465" t="inlineStr">
        <is>
          <t xml:space="preserve">house </t>
        </is>
      </c>
      <c r="B2465">
        <f>VLOOKUP(2465,Requirements!A2:B2967,2,FALSE)</f>
        <v/>
      </c>
    </row>
    <row r="2466">
      <c r="A2466" t="inlineStr">
        <is>
          <t xml:space="preserve">house </t>
        </is>
      </c>
      <c r="B2466">
        <f>VLOOKUP(2466,Requirements!A2:B2967,2,FALSE)</f>
        <v/>
      </c>
    </row>
    <row r="2467">
      <c r="A2467" t="inlineStr">
        <is>
          <t xml:space="preserve">house </t>
        </is>
      </c>
      <c r="B2467">
        <f>VLOOKUP(2473,Requirements!A2:B2967,2,FALSE)</f>
        <v/>
      </c>
    </row>
    <row r="2468">
      <c r="A2468" t="inlineStr">
        <is>
          <t xml:space="preserve">house </t>
        </is>
      </c>
      <c r="B2468">
        <f>VLOOKUP(2477,Requirements!A2:B2967,2,FALSE)</f>
        <v/>
      </c>
    </row>
    <row r="2469">
      <c r="A2469" t="inlineStr">
        <is>
          <t xml:space="preserve">house </t>
        </is>
      </c>
      <c r="B2469">
        <f>VLOOKUP(2488,Requirements!A2:B2967,2,FALSE)</f>
        <v/>
      </c>
    </row>
    <row r="2470">
      <c r="A2470" t="inlineStr">
        <is>
          <t xml:space="preserve">house </t>
        </is>
      </c>
      <c r="B2470">
        <f>VLOOKUP(2541,Requirements!A2:B2967,2,FALSE)</f>
        <v/>
      </c>
    </row>
    <row r="2471">
      <c r="A2471" t="inlineStr">
        <is>
          <t xml:space="preserve">house </t>
        </is>
      </c>
      <c r="B2471">
        <f>VLOOKUP(2547,Requirements!A2:B2967,2,FALSE)</f>
        <v/>
      </c>
    </row>
    <row r="2472">
      <c r="A2472" t="inlineStr">
        <is>
          <t xml:space="preserve">house </t>
        </is>
      </c>
      <c r="B2472">
        <f>VLOOKUP(2565,Requirements!A2:B2967,2,FALSE)</f>
        <v/>
      </c>
    </row>
    <row r="2473">
      <c r="A2473" t="inlineStr">
        <is>
          <t xml:space="preserve">house </t>
        </is>
      </c>
      <c r="B2473">
        <f>VLOOKUP(2566,Requirements!A2:B2967,2,FALSE)</f>
        <v/>
      </c>
    </row>
    <row r="2474">
      <c r="A2474" t="inlineStr">
        <is>
          <t xml:space="preserve">house </t>
        </is>
      </c>
      <c r="B2474">
        <f>VLOOKUP(2568,Requirements!A2:B2967,2,FALSE)</f>
        <v/>
      </c>
    </row>
    <row r="2475">
      <c r="A2475" t="inlineStr">
        <is>
          <t xml:space="preserve">house </t>
        </is>
      </c>
      <c r="B2475">
        <f>VLOOKUP(2582,Requirements!A2:B2967,2,FALSE)</f>
        <v/>
      </c>
    </row>
    <row r="2476">
      <c r="A2476" t="inlineStr">
        <is>
          <t xml:space="preserve">house </t>
        </is>
      </c>
      <c r="B2476">
        <f>VLOOKUP(2586,Requirements!A2:B2967,2,FALSE)</f>
        <v/>
      </c>
    </row>
    <row r="2477">
      <c r="A2477" t="inlineStr">
        <is>
          <t xml:space="preserve">house </t>
        </is>
      </c>
      <c r="B2477">
        <f>VLOOKUP(2590,Requirements!A2:B2967,2,FALSE)</f>
        <v/>
      </c>
    </row>
    <row r="2478">
      <c r="A2478" t="inlineStr">
        <is>
          <t xml:space="preserve">house </t>
        </is>
      </c>
      <c r="B2478">
        <f>VLOOKUP(2593,Requirements!A2:B2967,2,FALSE)</f>
        <v/>
      </c>
    </row>
    <row r="2479">
      <c r="A2479" t="inlineStr">
        <is>
          <t xml:space="preserve">house </t>
        </is>
      </c>
      <c r="B2479">
        <f>VLOOKUP(2594,Requirements!A2:B2967,2,FALSE)</f>
        <v/>
      </c>
    </row>
    <row r="2480">
      <c r="A2480" t="inlineStr">
        <is>
          <t xml:space="preserve">house </t>
        </is>
      </c>
      <c r="B2480">
        <f>VLOOKUP(2612,Requirements!A2:B2967,2,FALSE)</f>
        <v/>
      </c>
    </row>
    <row r="2481">
      <c r="A2481" t="inlineStr">
        <is>
          <t xml:space="preserve">house </t>
        </is>
      </c>
      <c r="B2481">
        <f>VLOOKUP(2616,Requirements!A2:B2967,2,FALSE)</f>
        <v/>
      </c>
    </row>
    <row r="2482">
      <c r="A2482" t="inlineStr">
        <is>
          <t xml:space="preserve">house </t>
        </is>
      </c>
      <c r="B2482">
        <f>VLOOKUP(2618,Requirements!A2:B2967,2,FALSE)</f>
        <v/>
      </c>
    </row>
    <row r="2483">
      <c r="A2483" t="inlineStr">
        <is>
          <t xml:space="preserve">house </t>
        </is>
      </c>
      <c r="B2483">
        <f>VLOOKUP(2620,Requirements!A2:B2967,2,FALSE)</f>
        <v/>
      </c>
    </row>
    <row r="2484">
      <c r="A2484" t="inlineStr">
        <is>
          <t xml:space="preserve">house </t>
        </is>
      </c>
      <c r="B2484">
        <f>VLOOKUP(2630,Requirements!A2:B2967,2,FALSE)</f>
        <v/>
      </c>
    </row>
    <row r="2485">
      <c r="A2485" t="inlineStr">
        <is>
          <t xml:space="preserve">house </t>
        </is>
      </c>
      <c r="B2485">
        <f>VLOOKUP(2631,Requirements!A2:B2967,2,FALSE)</f>
        <v/>
      </c>
    </row>
    <row r="2486">
      <c r="A2486" t="inlineStr">
        <is>
          <t xml:space="preserve">house </t>
        </is>
      </c>
      <c r="B2486">
        <f>VLOOKUP(2638,Requirements!A2:B2967,2,FALSE)</f>
        <v/>
      </c>
    </row>
    <row r="2487">
      <c r="A2487" t="inlineStr">
        <is>
          <t xml:space="preserve">house </t>
        </is>
      </c>
      <c r="B2487">
        <f>VLOOKUP(2639,Requirements!A2:B2967,2,FALSE)</f>
        <v/>
      </c>
    </row>
    <row r="2488">
      <c r="A2488" t="inlineStr">
        <is>
          <t xml:space="preserve">house </t>
        </is>
      </c>
      <c r="B2488">
        <f>VLOOKUP(2660,Requirements!A2:B2967,2,FALSE)</f>
        <v/>
      </c>
    </row>
    <row r="2489">
      <c r="A2489" t="inlineStr">
        <is>
          <t xml:space="preserve">house </t>
        </is>
      </c>
      <c r="B2489">
        <f>VLOOKUP(2670,Requirements!A2:B2967,2,FALSE)</f>
        <v/>
      </c>
    </row>
    <row r="2490">
      <c r="A2490" t="inlineStr">
        <is>
          <t xml:space="preserve">house </t>
        </is>
      </c>
      <c r="B2490">
        <f>VLOOKUP(2675,Requirements!A2:B2967,2,FALSE)</f>
        <v/>
      </c>
    </row>
    <row r="2491">
      <c r="A2491" t="inlineStr">
        <is>
          <t xml:space="preserve">house </t>
        </is>
      </c>
      <c r="B2491">
        <f>VLOOKUP(2677,Requirements!A2:B2967,2,FALSE)</f>
        <v/>
      </c>
    </row>
    <row r="2492">
      <c r="A2492" t="inlineStr">
        <is>
          <t xml:space="preserve">house </t>
        </is>
      </c>
      <c r="B2492">
        <f>VLOOKUP(2680,Requirements!A2:B2967,2,FALSE)</f>
        <v/>
      </c>
    </row>
    <row r="2493">
      <c r="A2493" t="inlineStr">
        <is>
          <t xml:space="preserve">house </t>
        </is>
      </c>
      <c r="B2493">
        <f>VLOOKUP(2683,Requirements!A2:B2967,2,FALSE)</f>
        <v/>
      </c>
    </row>
    <row r="2494">
      <c r="A2494" t="inlineStr">
        <is>
          <t xml:space="preserve">house </t>
        </is>
      </c>
      <c r="B2494">
        <f>VLOOKUP(2689,Requirements!A2:B2967,2,FALSE)</f>
        <v/>
      </c>
    </row>
    <row r="2495">
      <c r="A2495" t="inlineStr">
        <is>
          <t xml:space="preserve">house </t>
        </is>
      </c>
      <c r="B2495">
        <f>VLOOKUP(2696,Requirements!A2:B2967,2,FALSE)</f>
        <v/>
      </c>
    </row>
    <row r="2496">
      <c r="A2496" t="inlineStr">
        <is>
          <t xml:space="preserve">house </t>
        </is>
      </c>
      <c r="B2496">
        <f>VLOOKUP(2699,Requirements!A2:B2967,2,FALSE)</f>
        <v/>
      </c>
    </row>
    <row r="2497">
      <c r="A2497" t="inlineStr">
        <is>
          <t xml:space="preserve">house </t>
        </is>
      </c>
      <c r="B2497">
        <f>VLOOKUP(2705,Requirements!A2:B2967,2,FALSE)</f>
        <v/>
      </c>
    </row>
    <row r="2498">
      <c r="A2498" t="inlineStr">
        <is>
          <t xml:space="preserve">house </t>
        </is>
      </c>
      <c r="B2498">
        <f>VLOOKUP(2717,Requirements!A2:B2967,2,FALSE)</f>
        <v/>
      </c>
    </row>
    <row r="2499">
      <c r="A2499" t="inlineStr">
        <is>
          <t xml:space="preserve">house </t>
        </is>
      </c>
      <c r="B2499">
        <f>VLOOKUP(2722,Requirements!A2:B2967,2,FALSE)</f>
        <v/>
      </c>
    </row>
    <row r="2500">
      <c r="A2500" t="inlineStr">
        <is>
          <t xml:space="preserve">house </t>
        </is>
      </c>
      <c r="B2500">
        <f>VLOOKUP(2724,Requirements!A2:B2967,2,FALSE)</f>
        <v/>
      </c>
    </row>
    <row r="2501">
      <c r="A2501" t="inlineStr">
        <is>
          <t xml:space="preserve">house </t>
        </is>
      </c>
      <c r="B2501">
        <f>VLOOKUP(2738,Requirements!A2:B2967,2,FALSE)</f>
        <v/>
      </c>
    </row>
    <row r="2502">
      <c r="A2502" t="inlineStr">
        <is>
          <t xml:space="preserve">house </t>
        </is>
      </c>
      <c r="B2502">
        <f>VLOOKUP(2743,Requirements!A2:B2967,2,FALSE)</f>
        <v/>
      </c>
    </row>
    <row r="2503">
      <c r="A2503" t="inlineStr">
        <is>
          <t xml:space="preserve">house </t>
        </is>
      </c>
      <c r="B2503">
        <f>VLOOKUP(2757,Requirements!A2:B2967,2,FALSE)</f>
        <v/>
      </c>
    </row>
    <row r="2504">
      <c r="A2504" t="inlineStr">
        <is>
          <t xml:space="preserve">house </t>
        </is>
      </c>
      <c r="B2504">
        <f>VLOOKUP(2768,Requirements!A2:B2967,2,FALSE)</f>
        <v/>
      </c>
    </row>
    <row r="2505">
      <c r="A2505" t="inlineStr">
        <is>
          <t xml:space="preserve">house </t>
        </is>
      </c>
      <c r="B2505">
        <f>VLOOKUP(2802,Requirements!A2:B2967,2,FALSE)</f>
        <v/>
      </c>
    </row>
    <row r="2506">
      <c r="A2506" t="inlineStr">
        <is>
          <t xml:space="preserve">house </t>
        </is>
      </c>
      <c r="B2506">
        <f>VLOOKUP(2809,Requirements!A2:B2967,2,FALSE)</f>
        <v/>
      </c>
    </row>
    <row r="2507">
      <c r="A2507" t="inlineStr">
        <is>
          <t xml:space="preserve">house </t>
        </is>
      </c>
      <c r="B2507">
        <f>VLOOKUP(2817,Requirements!A2:B2967,2,FALSE)</f>
        <v/>
      </c>
    </row>
    <row r="2508">
      <c r="A2508" t="inlineStr">
        <is>
          <t xml:space="preserve">house </t>
        </is>
      </c>
      <c r="B2508">
        <f>VLOOKUP(2837,Requirements!A2:B2967,2,FALSE)</f>
        <v/>
      </c>
    </row>
    <row r="2509">
      <c r="A2509" t="inlineStr">
        <is>
          <t xml:space="preserve">house </t>
        </is>
      </c>
      <c r="B2509">
        <f>VLOOKUP(2842,Requirements!A2:B2967,2,FALSE)</f>
        <v/>
      </c>
    </row>
    <row r="2510">
      <c r="A2510" t="inlineStr">
        <is>
          <t xml:space="preserve">house </t>
        </is>
      </c>
      <c r="B2510">
        <f>VLOOKUP(2873,Requirements!A2:B2967,2,FALSE)</f>
        <v/>
      </c>
    </row>
    <row r="2511">
      <c r="A2511" t="inlineStr">
        <is>
          <t xml:space="preserve">house </t>
        </is>
      </c>
      <c r="B2511">
        <f>VLOOKUP(2885,Requirements!A2:B2967,2,FALSE)</f>
        <v/>
      </c>
    </row>
    <row r="2512">
      <c r="A2512" t="inlineStr">
        <is>
          <t xml:space="preserve">house </t>
        </is>
      </c>
      <c r="B2512">
        <f>VLOOKUP(2891,Requirements!A2:B2967,2,FALSE)</f>
        <v/>
      </c>
    </row>
    <row r="2513">
      <c r="A2513" t="inlineStr">
        <is>
          <t xml:space="preserve">house </t>
        </is>
      </c>
      <c r="B2513">
        <f>VLOOKUP(2897,Requirements!A2:B2967,2,FALSE)</f>
        <v/>
      </c>
    </row>
    <row r="2514">
      <c r="A2514" t="inlineStr">
        <is>
          <t xml:space="preserve">house </t>
        </is>
      </c>
      <c r="B2514">
        <f>VLOOKUP(2901,Requirements!A2:B2967,2,FALSE)</f>
        <v/>
      </c>
    </row>
    <row r="2515">
      <c r="A2515" t="inlineStr">
        <is>
          <t xml:space="preserve">house </t>
        </is>
      </c>
      <c r="B2515">
        <f>VLOOKUP(2908,Requirements!A2:B2967,2,FALSE)</f>
        <v/>
      </c>
    </row>
    <row r="2516">
      <c r="A2516" t="inlineStr">
        <is>
          <t xml:space="preserve">house </t>
        </is>
      </c>
      <c r="B2516">
        <f>VLOOKUP(2909,Requirements!A2:B2967,2,FALSE)</f>
        <v/>
      </c>
    </row>
    <row r="2517">
      <c r="A2517" t="inlineStr">
        <is>
          <t xml:space="preserve">house </t>
        </is>
      </c>
      <c r="B2517">
        <f>VLOOKUP(2934,Requirements!A2:B2967,2,FALSE)</f>
        <v/>
      </c>
    </row>
    <row r="2518">
      <c r="A2518" t="inlineStr">
        <is>
          <t xml:space="preserve">house </t>
        </is>
      </c>
      <c r="B2518">
        <f>VLOOKUP(2976,Requirements!A2:B2967,2,FALSE)</f>
        <v/>
      </c>
    </row>
    <row r="2519">
      <c r="A2519" t="inlineStr">
        <is>
          <t xml:space="preserve">house </t>
        </is>
      </c>
      <c r="B2519">
        <f>VLOOKUP(2993,Requirements!A2:B2967,2,FALSE)</f>
        <v/>
      </c>
    </row>
    <row r="2520">
      <c r="A2520" t="inlineStr">
        <is>
          <t xml:space="preserve">house </t>
        </is>
      </c>
      <c r="B2520">
        <f>VLOOKUP(2999,Requirements!A2:B2967,2,FALSE)</f>
        <v/>
      </c>
    </row>
    <row r="2521">
      <c r="A2521" t="inlineStr">
        <is>
          <t xml:space="preserve">house </t>
        </is>
      </c>
      <c r="B2521">
        <f>VLOOKUP(3001,Requirements!A2:B2967,2,FALSE)</f>
        <v/>
      </c>
    </row>
    <row r="2522">
      <c r="A2522" t="inlineStr">
        <is>
          <t xml:space="preserve">house </t>
        </is>
      </c>
      <c r="B2522">
        <f>VLOOKUP(3011,Requirements!A2:B2967,2,FALSE)</f>
        <v/>
      </c>
    </row>
    <row r="2523">
      <c r="A2523" t="inlineStr">
        <is>
          <t xml:space="preserve">house </t>
        </is>
      </c>
      <c r="B2523">
        <f>VLOOKUP(3030,Requirements!A2:B2967,2,FALSE)</f>
        <v/>
      </c>
    </row>
    <row r="2524">
      <c r="A2524" t="inlineStr">
        <is>
          <t xml:space="preserve">house </t>
        </is>
      </c>
      <c r="B2524">
        <f>VLOOKUP(3037,Requirements!A2:B2967,2,FALSE)</f>
        <v/>
      </c>
    </row>
    <row r="2525">
      <c r="A2525" t="inlineStr">
        <is>
          <t xml:space="preserve">house </t>
        </is>
      </c>
      <c r="B2525">
        <f>VLOOKUP(3047,Requirements!A2:B2967,2,FALSE)</f>
        <v/>
      </c>
    </row>
    <row r="2526">
      <c r="A2526" t="inlineStr">
        <is>
          <t xml:space="preserve">house </t>
        </is>
      </c>
      <c r="B2526">
        <f>VLOOKUP(3055,Requirements!A2:B2967,2,FALSE)</f>
        <v/>
      </c>
    </row>
    <row r="2527">
      <c r="A2527" t="inlineStr">
        <is>
          <t xml:space="preserve">house </t>
        </is>
      </c>
      <c r="B2527">
        <f>VLOOKUP(3062,Requirements!A2:B2967,2,FALSE)</f>
        <v/>
      </c>
    </row>
    <row r="2528">
      <c r="A2528" t="inlineStr">
        <is>
          <t xml:space="preserve">house </t>
        </is>
      </c>
      <c r="B2528">
        <f>VLOOKUP(3089,Requirements!A2:B2967,2,FALSE)</f>
        <v/>
      </c>
    </row>
    <row r="2529">
      <c r="A2529" t="inlineStr">
        <is>
          <t xml:space="preserve">house </t>
        </is>
      </c>
      <c r="B2529">
        <f>VLOOKUP(3101,Requirements!A2:B2967,2,FALSE)</f>
        <v/>
      </c>
    </row>
    <row r="2530">
      <c r="A2530" t="inlineStr">
        <is>
          <t xml:space="preserve">house </t>
        </is>
      </c>
      <c r="B2530">
        <f>VLOOKUP(3103,Requirements!A2:B2967,2,FALSE)</f>
        <v/>
      </c>
    </row>
    <row r="2531">
      <c r="A2531" t="inlineStr">
        <is>
          <t xml:space="preserve">house </t>
        </is>
      </c>
      <c r="B2531">
        <f>VLOOKUP(3106,Requirements!A2:B2967,2,FALSE)</f>
        <v/>
      </c>
    </row>
    <row r="2532">
      <c r="A2532" t="inlineStr">
        <is>
          <t xml:space="preserve">house </t>
        </is>
      </c>
      <c r="B2532">
        <f>VLOOKUP(3129,Requirements!A2:B2967,2,FALSE)</f>
        <v/>
      </c>
    </row>
    <row r="2533">
      <c r="A2533" t="inlineStr">
        <is>
          <t xml:space="preserve">house </t>
        </is>
      </c>
      <c r="B2533">
        <f>VLOOKUP(3133,Requirements!A2:B2967,2,FALSE)</f>
        <v/>
      </c>
    </row>
    <row r="2534">
      <c r="A2534" t="inlineStr">
        <is>
          <t xml:space="preserve">house </t>
        </is>
      </c>
      <c r="B2534">
        <f>VLOOKUP(3140,Requirements!A2:B2967,2,FALSE)</f>
        <v/>
      </c>
    </row>
    <row r="2535">
      <c r="A2535" t="inlineStr">
        <is>
          <t xml:space="preserve">house </t>
        </is>
      </c>
      <c r="B2535">
        <f>VLOOKUP(3148,Requirements!A2:B2967,2,FALSE)</f>
        <v/>
      </c>
    </row>
    <row r="2536">
      <c r="A2536" t="inlineStr">
        <is>
          <t xml:space="preserve">house </t>
        </is>
      </c>
      <c r="B2536">
        <f>VLOOKUP(3179,Requirements!A2:B2967,2,FALSE)</f>
        <v/>
      </c>
    </row>
    <row r="2537">
      <c r="A2537" t="inlineStr">
        <is>
          <t xml:space="preserve">house </t>
        </is>
      </c>
      <c r="B2537">
        <f>VLOOKUP(3181,Requirements!A2:B2967,2,FALSE)</f>
        <v/>
      </c>
    </row>
    <row r="2538">
      <c r="A2538" t="inlineStr">
        <is>
          <t xml:space="preserve">house </t>
        </is>
      </c>
      <c r="B2538">
        <f>VLOOKUP(3188,Requirements!A2:B2967,2,FALSE)</f>
        <v/>
      </c>
    </row>
    <row r="2539">
      <c r="A2539" t="inlineStr">
        <is>
          <t xml:space="preserve">house </t>
        </is>
      </c>
      <c r="B2539">
        <f>VLOOKUP(3192,Requirements!A2:B2967,2,FALSE)</f>
        <v/>
      </c>
    </row>
    <row r="2540">
      <c r="A2540" t="inlineStr">
        <is>
          <t xml:space="preserve">house </t>
        </is>
      </c>
      <c r="B2540">
        <f>VLOOKUP(3212,Requirements!A2:B2967,2,FALSE)</f>
        <v/>
      </c>
    </row>
    <row r="2541">
      <c r="A2541" t="inlineStr">
        <is>
          <t xml:space="preserve">house </t>
        </is>
      </c>
      <c r="B2541">
        <f>VLOOKUP(3213,Requirements!A2:B2967,2,FALSE)</f>
        <v/>
      </c>
    </row>
    <row r="2542">
      <c r="A2542" t="inlineStr">
        <is>
          <t xml:space="preserve">house </t>
        </is>
      </c>
      <c r="B2542">
        <f>VLOOKUP(3227,Requirements!A2:B2967,2,FALSE)</f>
        <v/>
      </c>
    </row>
    <row r="2543">
      <c r="A2543" t="inlineStr">
        <is>
          <t xml:space="preserve">house </t>
        </is>
      </c>
      <c r="B2543">
        <f>VLOOKUP(3233,Requirements!A2:B2967,2,FALSE)</f>
        <v/>
      </c>
    </row>
    <row r="2544">
      <c r="A2544" t="inlineStr">
        <is>
          <t xml:space="preserve">house </t>
        </is>
      </c>
      <c r="B2544">
        <f>VLOOKUP(3239,Requirements!A2:B2967,2,FALSE)</f>
        <v/>
      </c>
    </row>
    <row r="2545">
      <c r="A2545" t="inlineStr">
        <is>
          <t xml:space="preserve">house </t>
        </is>
      </c>
      <c r="B2545">
        <f>VLOOKUP(3240,Requirements!A2:B2967,2,FALSE)</f>
        <v/>
      </c>
    </row>
    <row r="2546">
      <c r="A2546" t="inlineStr">
        <is>
          <t xml:space="preserve">house </t>
        </is>
      </c>
      <c r="B2546">
        <f>VLOOKUP(3242,Requirements!A2:B2967,2,FALSE)</f>
        <v/>
      </c>
    </row>
    <row r="2547">
      <c r="A2547" t="inlineStr">
        <is>
          <t xml:space="preserve">house </t>
        </is>
      </c>
      <c r="B2547">
        <f>VLOOKUP(3244,Requirements!A2:B2967,2,FALSE)</f>
        <v/>
      </c>
    </row>
    <row r="2548">
      <c r="A2548" t="inlineStr">
        <is>
          <t xml:space="preserve">house </t>
        </is>
      </c>
      <c r="B2548">
        <f>VLOOKUP(3252,Requirements!A2:B2967,2,FALSE)</f>
        <v/>
      </c>
    </row>
    <row r="2549">
      <c r="A2549" t="inlineStr">
        <is>
          <t xml:space="preserve">house </t>
        </is>
      </c>
      <c r="B2549">
        <f>VLOOKUP(3267,Requirements!A2:B2967,2,FALSE)</f>
        <v/>
      </c>
    </row>
    <row r="2550">
      <c r="A2550" t="inlineStr">
        <is>
          <t xml:space="preserve">house </t>
        </is>
      </c>
      <c r="B2550">
        <f>VLOOKUP(3268,Requirements!A2:B2967,2,FALSE)</f>
        <v/>
      </c>
    </row>
    <row r="2551">
      <c r="A2551" t="inlineStr">
        <is>
          <t xml:space="preserve">house </t>
        </is>
      </c>
      <c r="B2551">
        <f>VLOOKUP(3272,Requirements!A2:B2967,2,FALSE)</f>
        <v/>
      </c>
    </row>
    <row r="2552">
      <c r="A2552" t="inlineStr">
        <is>
          <t xml:space="preserve">house </t>
        </is>
      </c>
      <c r="B2552">
        <f>VLOOKUP(3273,Requirements!A2:B2967,2,FALSE)</f>
        <v/>
      </c>
    </row>
    <row r="2553">
      <c r="A2553" t="inlineStr">
        <is>
          <t xml:space="preserve">house </t>
        </is>
      </c>
      <c r="B2553">
        <f>VLOOKUP(3275,Requirements!A2:B2967,2,FALSE)</f>
        <v/>
      </c>
    </row>
    <row r="2554">
      <c r="A2554" t="inlineStr">
        <is>
          <t xml:space="preserve">house </t>
        </is>
      </c>
      <c r="B2554">
        <f>VLOOKUP(3276,Requirements!A2:B2967,2,FALSE)</f>
        <v/>
      </c>
    </row>
    <row r="2555">
      <c r="A2555" t="inlineStr">
        <is>
          <t xml:space="preserve">music </t>
        </is>
      </c>
      <c r="B2555">
        <f>VLOOKUP(13,Requirements!A2:B2967,2,FALSE)</f>
        <v/>
      </c>
    </row>
    <row r="2556">
      <c r="A2556" t="inlineStr">
        <is>
          <t xml:space="preserve">music </t>
        </is>
      </c>
      <c r="B2556">
        <f>VLOOKUP(78,Requirements!A2:B2967,2,FALSE)</f>
        <v/>
      </c>
    </row>
    <row r="2557">
      <c r="A2557" t="inlineStr">
        <is>
          <t xml:space="preserve">music </t>
        </is>
      </c>
      <c r="B2557">
        <f>VLOOKUP(110,Requirements!A2:B2967,2,FALSE)</f>
        <v/>
      </c>
    </row>
    <row r="2558">
      <c r="A2558" t="inlineStr">
        <is>
          <t xml:space="preserve">music </t>
        </is>
      </c>
      <c r="B2558">
        <f>VLOOKUP(173,Requirements!A2:B2967,2,FALSE)</f>
        <v/>
      </c>
    </row>
    <row r="2559">
      <c r="A2559" t="inlineStr">
        <is>
          <t xml:space="preserve">music </t>
        </is>
      </c>
      <c r="B2559">
        <f>VLOOKUP(260,Requirements!A2:B2967,2,FALSE)</f>
        <v/>
      </c>
    </row>
    <row r="2560">
      <c r="A2560" t="inlineStr">
        <is>
          <t xml:space="preserve">music </t>
        </is>
      </c>
      <c r="B2560">
        <f>VLOOKUP(288,Requirements!A2:B2967,2,FALSE)</f>
        <v/>
      </c>
    </row>
    <row r="2561">
      <c r="A2561" t="inlineStr">
        <is>
          <t xml:space="preserve">music </t>
        </is>
      </c>
      <c r="B2561">
        <f>VLOOKUP(350,Requirements!A2:B2967,2,FALSE)</f>
        <v/>
      </c>
    </row>
    <row r="2562">
      <c r="A2562" t="inlineStr">
        <is>
          <t xml:space="preserve">music </t>
        </is>
      </c>
      <c r="B2562">
        <f>VLOOKUP(372,Requirements!A2:B2967,2,FALSE)</f>
        <v/>
      </c>
    </row>
    <row r="2563">
      <c r="A2563" t="inlineStr">
        <is>
          <t xml:space="preserve">music </t>
        </is>
      </c>
      <c r="B2563">
        <f>VLOOKUP(380,Requirements!A2:B2967,2,FALSE)</f>
        <v/>
      </c>
    </row>
    <row r="2564">
      <c r="A2564" t="inlineStr">
        <is>
          <t xml:space="preserve">music </t>
        </is>
      </c>
      <c r="B2564">
        <f>VLOOKUP(426,Requirements!A2:B2967,2,FALSE)</f>
        <v/>
      </c>
    </row>
    <row r="2565">
      <c r="A2565" t="inlineStr">
        <is>
          <t xml:space="preserve">music </t>
        </is>
      </c>
      <c r="B2565">
        <f>VLOOKUP(452,Requirements!A2:B2967,2,FALSE)</f>
        <v/>
      </c>
    </row>
    <row r="2566">
      <c r="A2566" t="inlineStr">
        <is>
          <t xml:space="preserve">music </t>
        </is>
      </c>
      <c r="B2566">
        <f>VLOOKUP(500,Requirements!A2:B2967,2,FALSE)</f>
        <v/>
      </c>
    </row>
    <row r="2567">
      <c r="A2567" t="inlineStr">
        <is>
          <t xml:space="preserve">music </t>
        </is>
      </c>
      <c r="B2567">
        <f>VLOOKUP(547,Requirements!A2:B2967,2,FALSE)</f>
        <v/>
      </c>
    </row>
    <row r="2568">
      <c r="A2568" t="inlineStr">
        <is>
          <t xml:space="preserve">music </t>
        </is>
      </c>
      <c r="B2568">
        <f>VLOOKUP(650,Requirements!A2:B2967,2,FALSE)</f>
        <v/>
      </c>
    </row>
    <row r="2569">
      <c r="A2569" t="inlineStr">
        <is>
          <t xml:space="preserve">music </t>
        </is>
      </c>
      <c r="B2569">
        <f>VLOOKUP(656,Requirements!A2:B2967,2,FALSE)</f>
        <v/>
      </c>
    </row>
    <row r="2570">
      <c r="A2570" t="inlineStr">
        <is>
          <t xml:space="preserve">music </t>
        </is>
      </c>
      <c r="B2570">
        <f>VLOOKUP(719,Requirements!A2:B2967,2,FALSE)</f>
        <v/>
      </c>
    </row>
    <row r="2571">
      <c r="A2571" t="inlineStr">
        <is>
          <t xml:space="preserve">music </t>
        </is>
      </c>
      <c r="B2571">
        <f>VLOOKUP(736,Requirements!A2:B2967,2,FALSE)</f>
        <v/>
      </c>
    </row>
    <row r="2572">
      <c r="A2572" t="inlineStr">
        <is>
          <t xml:space="preserve">music </t>
        </is>
      </c>
      <c r="B2572">
        <f>VLOOKUP(744,Requirements!A2:B2967,2,FALSE)</f>
        <v/>
      </c>
    </row>
    <row r="2573">
      <c r="A2573" t="inlineStr">
        <is>
          <t xml:space="preserve">music </t>
        </is>
      </c>
      <c r="B2573">
        <f>VLOOKUP(758,Requirements!A2:B2967,2,FALSE)</f>
        <v/>
      </c>
    </row>
    <row r="2574">
      <c r="A2574" t="inlineStr">
        <is>
          <t xml:space="preserve">music </t>
        </is>
      </c>
      <c r="B2574">
        <f>VLOOKUP(821,Requirements!A2:B2967,2,FALSE)</f>
        <v/>
      </c>
    </row>
    <row r="2575">
      <c r="A2575" t="inlineStr">
        <is>
          <t xml:space="preserve">music </t>
        </is>
      </c>
      <c r="B2575">
        <f>VLOOKUP(890,Requirements!A2:B2967,2,FALSE)</f>
        <v/>
      </c>
    </row>
    <row r="2576">
      <c r="A2576" t="inlineStr">
        <is>
          <t xml:space="preserve">music </t>
        </is>
      </c>
      <c r="B2576">
        <f>VLOOKUP(963,Requirements!A2:B2967,2,FALSE)</f>
        <v/>
      </c>
    </row>
    <row r="2577">
      <c r="A2577" t="inlineStr">
        <is>
          <t xml:space="preserve">music </t>
        </is>
      </c>
      <c r="B2577">
        <f>VLOOKUP(991,Requirements!A2:B2967,2,FALSE)</f>
        <v/>
      </c>
    </row>
    <row r="2578">
      <c r="A2578" t="inlineStr">
        <is>
          <t xml:space="preserve">music </t>
        </is>
      </c>
      <c r="B2578">
        <f>VLOOKUP(1011,Requirements!A2:B2967,2,FALSE)</f>
        <v/>
      </c>
    </row>
    <row r="2579">
      <c r="A2579" t="inlineStr">
        <is>
          <t xml:space="preserve">music </t>
        </is>
      </c>
      <c r="B2579">
        <f>VLOOKUP(1082,Requirements!A2:B2967,2,FALSE)</f>
        <v/>
      </c>
    </row>
    <row r="2580">
      <c r="A2580" t="inlineStr">
        <is>
          <t xml:space="preserve">music </t>
        </is>
      </c>
      <c r="B2580">
        <f>VLOOKUP(1132,Requirements!A2:B2967,2,FALSE)</f>
        <v/>
      </c>
    </row>
    <row r="2581">
      <c r="A2581" t="inlineStr">
        <is>
          <t xml:space="preserve">music </t>
        </is>
      </c>
      <c r="B2581">
        <f>VLOOKUP(1171,Requirements!A2:B2967,2,FALSE)</f>
        <v/>
      </c>
    </row>
    <row r="2582">
      <c r="A2582" t="inlineStr">
        <is>
          <t xml:space="preserve">music </t>
        </is>
      </c>
      <c r="B2582">
        <f>VLOOKUP(1183,Requirements!A2:B2967,2,FALSE)</f>
        <v/>
      </c>
    </row>
    <row r="2583">
      <c r="A2583" t="inlineStr">
        <is>
          <t xml:space="preserve">music </t>
        </is>
      </c>
      <c r="B2583">
        <f>VLOOKUP(1207,Requirements!A2:B2967,2,FALSE)</f>
        <v/>
      </c>
    </row>
    <row r="2584">
      <c r="A2584" t="inlineStr">
        <is>
          <t xml:space="preserve">music </t>
        </is>
      </c>
      <c r="B2584">
        <f>VLOOKUP(1226,Requirements!A2:B2967,2,FALSE)</f>
        <v/>
      </c>
    </row>
    <row r="2585">
      <c r="A2585" t="inlineStr">
        <is>
          <t xml:space="preserve">music </t>
        </is>
      </c>
      <c r="B2585">
        <f>VLOOKUP(1241,Requirements!A2:B2967,2,FALSE)</f>
        <v/>
      </c>
    </row>
    <row r="2586">
      <c r="A2586" t="inlineStr">
        <is>
          <t xml:space="preserve">music </t>
        </is>
      </c>
      <c r="B2586">
        <f>VLOOKUP(1279,Requirements!A2:B2967,2,FALSE)</f>
        <v/>
      </c>
    </row>
    <row r="2587">
      <c r="A2587" t="inlineStr">
        <is>
          <t xml:space="preserve">music </t>
        </is>
      </c>
      <c r="B2587">
        <f>VLOOKUP(1307,Requirements!A2:B2967,2,FALSE)</f>
        <v/>
      </c>
    </row>
    <row r="2588">
      <c r="A2588" t="inlineStr">
        <is>
          <t xml:space="preserve">music </t>
        </is>
      </c>
      <c r="B2588">
        <f>VLOOKUP(1339,Requirements!A2:B2967,2,FALSE)</f>
        <v/>
      </c>
    </row>
    <row r="2589">
      <c r="A2589" t="inlineStr">
        <is>
          <t xml:space="preserve">music </t>
        </is>
      </c>
      <c r="B2589">
        <f>VLOOKUP(1381,Requirements!A2:B2967,2,FALSE)</f>
        <v/>
      </c>
    </row>
    <row r="2590">
      <c r="A2590" t="inlineStr">
        <is>
          <t xml:space="preserve">music </t>
        </is>
      </c>
      <c r="B2590">
        <f>VLOOKUP(1394,Requirements!A2:B2967,2,FALSE)</f>
        <v/>
      </c>
    </row>
    <row r="2591">
      <c r="A2591" t="inlineStr">
        <is>
          <t xml:space="preserve">music </t>
        </is>
      </c>
      <c r="B2591">
        <f>VLOOKUP(1430,Requirements!A2:B2967,2,FALSE)</f>
        <v/>
      </c>
    </row>
    <row r="2592">
      <c r="A2592" t="inlineStr">
        <is>
          <t xml:space="preserve">music </t>
        </is>
      </c>
      <c r="B2592">
        <f>VLOOKUP(1441,Requirements!A2:B2967,2,FALSE)</f>
        <v/>
      </c>
    </row>
    <row r="2593">
      <c r="A2593" t="inlineStr">
        <is>
          <t xml:space="preserve">music </t>
        </is>
      </c>
      <c r="B2593">
        <f>VLOOKUP(1468,Requirements!A2:B2967,2,FALSE)</f>
        <v/>
      </c>
    </row>
    <row r="2594">
      <c r="A2594" t="inlineStr">
        <is>
          <t xml:space="preserve">music </t>
        </is>
      </c>
      <c r="B2594">
        <f>VLOOKUP(1491,Requirements!A2:B2967,2,FALSE)</f>
        <v/>
      </c>
    </row>
    <row r="2595">
      <c r="A2595" t="inlineStr">
        <is>
          <t xml:space="preserve">music </t>
        </is>
      </c>
      <c r="B2595">
        <f>VLOOKUP(1527,Requirements!A2:B2967,2,FALSE)</f>
        <v/>
      </c>
    </row>
    <row r="2596">
      <c r="A2596" t="inlineStr">
        <is>
          <t xml:space="preserve">music </t>
        </is>
      </c>
      <c r="B2596">
        <f>VLOOKUP(1672,Requirements!A2:B2967,2,FALSE)</f>
        <v/>
      </c>
    </row>
    <row r="2597">
      <c r="A2597" t="inlineStr">
        <is>
          <t xml:space="preserve">music </t>
        </is>
      </c>
      <c r="B2597">
        <f>VLOOKUP(1679,Requirements!A2:B2967,2,FALSE)</f>
        <v/>
      </c>
    </row>
    <row r="2598">
      <c r="A2598" t="inlineStr">
        <is>
          <t xml:space="preserve">music </t>
        </is>
      </c>
      <c r="B2598">
        <f>VLOOKUP(1824,Requirements!A2:B2967,2,FALSE)</f>
        <v/>
      </c>
    </row>
    <row r="2599">
      <c r="A2599" t="inlineStr">
        <is>
          <t xml:space="preserve">music </t>
        </is>
      </c>
      <c r="B2599">
        <f>VLOOKUP(1864,Requirements!A2:B2967,2,FALSE)</f>
        <v/>
      </c>
    </row>
    <row r="2600">
      <c r="A2600" t="inlineStr">
        <is>
          <t xml:space="preserve">music </t>
        </is>
      </c>
      <c r="B2600">
        <f>VLOOKUP(1918,Requirements!A2:B2967,2,FALSE)</f>
        <v/>
      </c>
    </row>
    <row r="2601">
      <c r="A2601" t="inlineStr">
        <is>
          <t xml:space="preserve">music </t>
        </is>
      </c>
      <c r="B2601">
        <f>VLOOKUP(1968,Requirements!A2:B2967,2,FALSE)</f>
        <v/>
      </c>
    </row>
    <row r="2602">
      <c r="A2602" t="inlineStr">
        <is>
          <t xml:space="preserve">music </t>
        </is>
      </c>
      <c r="B2602">
        <f>VLOOKUP(1972,Requirements!A2:B2967,2,FALSE)</f>
        <v/>
      </c>
    </row>
    <row r="2603">
      <c r="A2603" t="inlineStr">
        <is>
          <t xml:space="preserve">music </t>
        </is>
      </c>
      <c r="B2603">
        <f>VLOOKUP(2006,Requirements!A2:B2967,2,FALSE)</f>
        <v/>
      </c>
    </row>
    <row r="2604">
      <c r="A2604" t="inlineStr">
        <is>
          <t xml:space="preserve">music </t>
        </is>
      </c>
      <c r="B2604">
        <f>VLOOKUP(2024,Requirements!A2:B2967,2,FALSE)</f>
        <v/>
      </c>
    </row>
    <row r="2605">
      <c r="A2605" t="inlineStr">
        <is>
          <t xml:space="preserve">music </t>
        </is>
      </c>
      <c r="B2605">
        <f>VLOOKUP(2068,Requirements!A2:B2967,2,FALSE)</f>
        <v/>
      </c>
    </row>
    <row r="2606">
      <c r="A2606" t="inlineStr">
        <is>
          <t xml:space="preserve">music </t>
        </is>
      </c>
      <c r="B2606">
        <f>VLOOKUP(2253,Requirements!A2:B2967,2,FALSE)</f>
        <v/>
      </c>
    </row>
    <row r="2607">
      <c r="A2607" t="inlineStr">
        <is>
          <t xml:space="preserve">music </t>
        </is>
      </c>
      <c r="B2607">
        <f>VLOOKUP(2309,Requirements!A2:B2967,2,FALSE)</f>
        <v/>
      </c>
    </row>
    <row r="2608">
      <c r="A2608" t="inlineStr">
        <is>
          <t xml:space="preserve">music </t>
        </is>
      </c>
      <c r="B2608">
        <f>VLOOKUP(2604,Requirements!A2:B2967,2,FALSE)</f>
        <v/>
      </c>
    </row>
    <row r="2609">
      <c r="A2609" t="inlineStr">
        <is>
          <t xml:space="preserve">music </t>
        </is>
      </c>
      <c r="B2609">
        <f>VLOOKUP(2620,Requirements!A2:B2967,2,FALSE)</f>
        <v/>
      </c>
    </row>
    <row r="2610">
      <c r="A2610" t="inlineStr">
        <is>
          <t xml:space="preserve">music </t>
        </is>
      </c>
      <c r="B2610">
        <f>VLOOKUP(2640,Requirements!A2:B2967,2,FALSE)</f>
        <v/>
      </c>
    </row>
    <row r="2611">
      <c r="A2611" t="inlineStr">
        <is>
          <t xml:space="preserve">music </t>
        </is>
      </c>
      <c r="B2611">
        <f>VLOOKUP(2788,Requirements!A2:B2967,2,FALSE)</f>
        <v/>
      </c>
    </row>
    <row r="2612">
      <c r="A2612" t="inlineStr">
        <is>
          <t xml:space="preserve">music </t>
        </is>
      </c>
      <c r="B2612">
        <f>VLOOKUP(2938,Requirements!A2:B2967,2,FALSE)</f>
        <v/>
      </c>
    </row>
    <row r="2613">
      <c r="A2613" t="inlineStr">
        <is>
          <t xml:space="preserve">music </t>
        </is>
      </c>
      <c r="B2613">
        <f>VLOOKUP(2957,Requirements!A2:B2967,2,FALSE)</f>
        <v/>
      </c>
    </row>
    <row r="2614">
      <c r="A2614" t="inlineStr">
        <is>
          <t xml:space="preserve">music </t>
        </is>
      </c>
      <c r="B2614">
        <f>VLOOKUP(2993,Requirements!A2:B2967,2,FALSE)</f>
        <v/>
      </c>
    </row>
    <row r="2615">
      <c r="A2615" t="inlineStr">
        <is>
          <t xml:space="preserve">music </t>
        </is>
      </c>
      <c r="B2615">
        <f>VLOOKUP(3089,Requirements!A2:B2967,2,FALSE)</f>
        <v/>
      </c>
    </row>
    <row r="2616">
      <c r="A2616" t="inlineStr">
        <is>
          <t xml:space="preserve">music </t>
        </is>
      </c>
      <c r="B2616">
        <f>VLOOKUP(3181,Requirements!A2:B2967,2,FALSE)</f>
        <v/>
      </c>
    </row>
    <row r="2617">
      <c r="A2617" t="inlineStr">
        <is>
          <t xml:space="preserve">music </t>
        </is>
      </c>
      <c r="B2617">
        <f>VLOOKUP(3225,Requirements!A2:B2967,2,FALSE)</f>
        <v/>
      </c>
    </row>
    <row r="2618">
      <c r="A2618" t="inlineStr">
        <is>
          <t xml:space="preserve">mood </t>
        </is>
      </c>
      <c r="B2618">
        <f>VLOOKUP(13,Requirements!A2:B2967,2,FALSE)</f>
        <v/>
      </c>
    </row>
    <row r="2619">
      <c r="A2619" t="inlineStr">
        <is>
          <t xml:space="preserve">mood </t>
        </is>
      </c>
      <c r="B2619">
        <f>VLOOKUP(71,Requirements!A2:B2967,2,FALSE)</f>
        <v/>
      </c>
    </row>
    <row r="2620">
      <c r="A2620" t="inlineStr">
        <is>
          <t xml:space="preserve">mood </t>
        </is>
      </c>
      <c r="B2620">
        <f>VLOOKUP(126,Requirements!A2:B2967,2,FALSE)</f>
        <v/>
      </c>
    </row>
    <row r="2621">
      <c r="A2621" t="inlineStr">
        <is>
          <t xml:space="preserve">mood </t>
        </is>
      </c>
      <c r="B2621">
        <f>VLOOKUP(243,Requirements!A2:B2967,2,FALSE)</f>
        <v/>
      </c>
    </row>
    <row r="2622">
      <c r="A2622" t="inlineStr">
        <is>
          <t xml:space="preserve">mood </t>
        </is>
      </c>
      <c r="B2622">
        <f>VLOOKUP(550,Requirements!A2:B2967,2,FALSE)</f>
        <v/>
      </c>
    </row>
    <row r="2623">
      <c r="A2623" t="inlineStr">
        <is>
          <t xml:space="preserve">mood </t>
        </is>
      </c>
      <c r="B2623">
        <f>VLOOKUP(680,Requirements!A2:B2967,2,FALSE)</f>
        <v/>
      </c>
    </row>
    <row r="2624">
      <c r="A2624" t="inlineStr">
        <is>
          <t xml:space="preserve">mood </t>
        </is>
      </c>
      <c r="B2624">
        <f>VLOOKUP(728,Requirements!A2:B2967,2,FALSE)</f>
        <v/>
      </c>
    </row>
    <row r="2625">
      <c r="A2625" t="inlineStr">
        <is>
          <t xml:space="preserve">mood </t>
        </is>
      </c>
      <c r="B2625">
        <f>VLOOKUP(773,Requirements!A2:B2967,2,FALSE)</f>
        <v/>
      </c>
    </row>
    <row r="2626">
      <c r="A2626" t="inlineStr">
        <is>
          <t xml:space="preserve">mood </t>
        </is>
      </c>
      <c r="B2626">
        <f>VLOOKUP(1082,Requirements!A2:B2967,2,FALSE)</f>
        <v/>
      </c>
    </row>
    <row r="2627">
      <c r="A2627" t="inlineStr">
        <is>
          <t xml:space="preserve">mood </t>
        </is>
      </c>
      <c r="B2627">
        <f>VLOOKUP(1484,Requirements!A2:B2967,2,FALSE)</f>
        <v/>
      </c>
    </row>
    <row r="2628">
      <c r="A2628" t="inlineStr">
        <is>
          <t xml:space="preserve">mood </t>
        </is>
      </c>
      <c r="B2628">
        <f>VLOOKUP(1527,Requirements!A2:B2967,2,FALSE)</f>
        <v/>
      </c>
    </row>
    <row r="2629">
      <c r="A2629" t="inlineStr">
        <is>
          <t xml:space="preserve">mood </t>
        </is>
      </c>
      <c r="B2629">
        <f>VLOOKUP(1807,Requirements!A2:B2967,2,FALSE)</f>
        <v/>
      </c>
    </row>
    <row r="2630">
      <c r="A2630" t="inlineStr">
        <is>
          <t xml:space="preserve">mood </t>
        </is>
      </c>
      <c r="B2630">
        <f>VLOOKUP(1863,Requirements!A2:B2967,2,FALSE)</f>
        <v/>
      </c>
    </row>
    <row r="2631">
      <c r="A2631" t="inlineStr">
        <is>
          <t xml:space="preserve">mood </t>
        </is>
      </c>
      <c r="B2631">
        <f>VLOOKUP(2138,Requirements!A2:B2967,2,FALSE)</f>
        <v/>
      </c>
    </row>
    <row r="2632">
      <c r="A2632" t="inlineStr">
        <is>
          <t xml:space="preserve">mood </t>
        </is>
      </c>
      <c r="B2632">
        <f>VLOOKUP(2397,Requirements!A2:B2967,2,FALSE)</f>
        <v/>
      </c>
    </row>
    <row r="2633">
      <c r="A2633" t="inlineStr">
        <is>
          <t xml:space="preserve">mood </t>
        </is>
      </c>
      <c r="B2633">
        <f>VLOOKUP(2755,Requirements!A2:B2967,2,FALSE)</f>
        <v/>
      </c>
    </row>
    <row r="2634">
      <c r="A2634" t="inlineStr">
        <is>
          <t xml:space="preserve">mood </t>
        </is>
      </c>
      <c r="B2634">
        <f>VLOOKUP(3195,Requirements!A2:B2967,2,FALSE)</f>
        <v/>
      </c>
    </row>
    <row r="2635">
      <c r="A2635" t="inlineStr">
        <is>
          <t xml:space="preserve">fan </t>
        </is>
      </c>
      <c r="B2635">
        <f>VLOOKUP(14,Requirements!A2:B2967,2,FALSE)</f>
        <v/>
      </c>
    </row>
    <row r="2636">
      <c r="A2636" t="inlineStr">
        <is>
          <t xml:space="preserve">fan </t>
        </is>
      </c>
      <c r="B2636">
        <f>VLOOKUP(19,Requirements!A2:B2967,2,FALSE)</f>
        <v/>
      </c>
    </row>
    <row r="2637">
      <c r="A2637" t="inlineStr">
        <is>
          <t xml:space="preserve">fan </t>
        </is>
      </c>
      <c r="B2637">
        <f>VLOOKUP(178,Requirements!A2:B2967,2,FALSE)</f>
        <v/>
      </c>
    </row>
    <row r="2638">
      <c r="A2638" t="inlineStr">
        <is>
          <t xml:space="preserve">fan </t>
        </is>
      </c>
      <c r="B2638">
        <f>VLOOKUP(226,Requirements!A2:B2967,2,FALSE)</f>
        <v/>
      </c>
    </row>
    <row r="2639">
      <c r="A2639" t="inlineStr">
        <is>
          <t xml:space="preserve">fan </t>
        </is>
      </c>
      <c r="B2639">
        <f>VLOOKUP(1060,Requirements!A2:B2967,2,FALSE)</f>
        <v/>
      </c>
    </row>
    <row r="2640">
      <c r="A2640" t="inlineStr">
        <is>
          <t xml:space="preserve">fan </t>
        </is>
      </c>
      <c r="B2640">
        <f>VLOOKUP(1535,Requirements!A2:B2967,2,FALSE)</f>
        <v/>
      </c>
    </row>
    <row r="2641">
      <c r="A2641" t="inlineStr">
        <is>
          <t xml:space="preserve">fan </t>
        </is>
      </c>
      <c r="B2641">
        <f>VLOOKUP(1574,Requirements!A2:B2967,2,FALSE)</f>
        <v/>
      </c>
    </row>
    <row r="2642">
      <c r="A2642" t="inlineStr">
        <is>
          <t xml:space="preserve">fan </t>
        </is>
      </c>
      <c r="B2642">
        <f>VLOOKUP(1735,Requirements!A2:B2967,2,FALSE)</f>
        <v/>
      </c>
    </row>
    <row r="2643">
      <c r="A2643" t="inlineStr">
        <is>
          <t xml:space="preserve">fan </t>
        </is>
      </c>
      <c r="B2643">
        <f>VLOOKUP(1772,Requirements!A2:B2967,2,FALSE)</f>
        <v/>
      </c>
    </row>
    <row r="2644">
      <c r="A2644" t="inlineStr">
        <is>
          <t xml:space="preserve">fan </t>
        </is>
      </c>
      <c r="B2644">
        <f>VLOOKUP(1810,Requirements!A2:B2967,2,FALSE)</f>
        <v/>
      </c>
    </row>
    <row r="2645">
      <c r="A2645" t="inlineStr">
        <is>
          <t xml:space="preserve">fan </t>
        </is>
      </c>
      <c r="B2645">
        <f>VLOOKUP(1910,Requirements!A2:B2967,2,FALSE)</f>
        <v/>
      </c>
    </row>
    <row r="2646">
      <c r="A2646" t="inlineStr">
        <is>
          <t xml:space="preserve">fan </t>
        </is>
      </c>
      <c r="B2646">
        <f>VLOOKUP(1922,Requirements!A2:B2967,2,FALSE)</f>
        <v/>
      </c>
    </row>
    <row r="2647">
      <c r="A2647" t="inlineStr">
        <is>
          <t xml:space="preserve">fan </t>
        </is>
      </c>
      <c r="B2647">
        <f>VLOOKUP(2337,Requirements!A2:B2967,2,FALSE)</f>
        <v/>
      </c>
    </row>
    <row r="2648">
      <c r="A2648" t="inlineStr">
        <is>
          <t xml:space="preserve">fan </t>
        </is>
      </c>
      <c r="B2648">
        <f>VLOOKUP(2690,Requirements!A2:B2967,2,FALSE)</f>
        <v/>
      </c>
    </row>
    <row r="2649">
      <c r="A2649" t="inlineStr">
        <is>
          <t xml:space="preserve">fan </t>
        </is>
      </c>
      <c r="B2649">
        <f>VLOOKUP(2919,Requirements!A2:B2967,2,FALSE)</f>
        <v/>
      </c>
    </row>
    <row r="2650">
      <c r="A2650" t="inlineStr">
        <is>
          <t xml:space="preserve">fan </t>
        </is>
      </c>
      <c r="B2650">
        <f>VLOOKUP(2973,Requirements!A2:B2967,2,FALSE)</f>
        <v/>
      </c>
    </row>
    <row r="2651">
      <c r="A2651" t="inlineStr">
        <is>
          <t xml:space="preserve">favorite show </t>
        </is>
      </c>
      <c r="B2651">
        <f>VLOOKUP(14,Requirements!A2:B2967,2,FALSE)</f>
        <v/>
      </c>
    </row>
    <row r="2652">
      <c r="A2652" t="inlineStr">
        <is>
          <t xml:space="preserve">favorite show </t>
        </is>
      </c>
      <c r="B2652">
        <f>VLOOKUP(275,Requirements!A2:B2967,2,FALSE)</f>
        <v/>
      </c>
    </row>
    <row r="2653">
      <c r="A2653" t="inlineStr">
        <is>
          <t xml:space="preserve">favorite show </t>
        </is>
      </c>
      <c r="B2653">
        <f>VLOOKUP(480,Requirements!A2:B2967,2,FALSE)</f>
        <v/>
      </c>
    </row>
    <row r="2654">
      <c r="A2654" t="inlineStr">
        <is>
          <t xml:space="preserve">favorite show </t>
        </is>
      </c>
      <c r="B2654">
        <f>VLOOKUP(677,Requirements!A2:B2967,2,FALSE)</f>
        <v/>
      </c>
    </row>
    <row r="2655">
      <c r="A2655" t="inlineStr">
        <is>
          <t xml:space="preserve">favorite show </t>
        </is>
      </c>
      <c r="B2655">
        <f>VLOOKUP(743,Requirements!A2:B2967,2,FALSE)</f>
        <v/>
      </c>
    </row>
    <row r="2656">
      <c r="A2656" t="inlineStr">
        <is>
          <t xml:space="preserve">favorite show </t>
        </is>
      </c>
      <c r="B2656">
        <f>VLOOKUP(804,Requirements!A2:B2967,2,FALSE)</f>
        <v/>
      </c>
    </row>
    <row r="2657">
      <c r="A2657" t="inlineStr">
        <is>
          <t xml:space="preserve">favorite show </t>
        </is>
      </c>
      <c r="B2657">
        <f>VLOOKUP(833,Requirements!A2:B2967,2,FALSE)</f>
        <v/>
      </c>
    </row>
    <row r="2658">
      <c r="A2658" t="inlineStr">
        <is>
          <t xml:space="preserve">favorite show </t>
        </is>
      </c>
      <c r="B2658">
        <f>VLOOKUP(1311,Requirements!A2:B2967,2,FALSE)</f>
        <v/>
      </c>
    </row>
    <row r="2659">
      <c r="A2659" t="inlineStr">
        <is>
          <t xml:space="preserve">favorite show </t>
        </is>
      </c>
      <c r="B2659">
        <f>VLOOKUP(1692,Requirements!A2:B2967,2,FALSE)</f>
        <v/>
      </c>
    </row>
    <row r="2660">
      <c r="A2660" t="inlineStr">
        <is>
          <t xml:space="preserve">favorite show </t>
        </is>
      </c>
      <c r="B2660">
        <f>VLOOKUP(1703,Requirements!A2:B2967,2,FALSE)</f>
        <v/>
      </c>
    </row>
    <row r="2661">
      <c r="A2661" t="inlineStr">
        <is>
          <t xml:space="preserve">favorite show </t>
        </is>
      </c>
      <c r="B2661">
        <f>VLOOKUP(2572,Requirements!A2:B2967,2,FALSE)</f>
        <v/>
      </c>
    </row>
    <row r="2662">
      <c r="A2662" t="inlineStr">
        <is>
          <t xml:space="preserve">favorite show </t>
        </is>
      </c>
      <c r="B2662">
        <f>VLOOKUP(2690,Requirements!A2:B2967,2,FALSE)</f>
        <v/>
      </c>
    </row>
    <row r="2663">
      <c r="A2663" t="inlineStr">
        <is>
          <t xml:space="preserve">favorite show </t>
        </is>
      </c>
      <c r="B2663">
        <f>VLOOKUP(3270,Requirements!A2:B2967,2,FALSE)</f>
        <v/>
      </c>
    </row>
    <row r="2664">
      <c r="A2664" t="inlineStr">
        <is>
          <t xml:space="preserve">minute </t>
        </is>
      </c>
      <c r="B2664">
        <f>VLOOKUP(14,Requirements!A2:B2967,2,FALSE)</f>
        <v/>
      </c>
    </row>
    <row r="2665">
      <c r="A2665" t="inlineStr">
        <is>
          <t xml:space="preserve">minute </t>
        </is>
      </c>
      <c r="B2665">
        <f>VLOOKUP(259,Requirements!A2:B2967,2,FALSE)</f>
        <v/>
      </c>
    </row>
    <row r="2666">
      <c r="A2666" t="inlineStr">
        <is>
          <t xml:space="preserve">minute </t>
        </is>
      </c>
      <c r="B2666">
        <f>VLOOKUP(336,Requirements!A2:B2967,2,FALSE)</f>
        <v/>
      </c>
    </row>
    <row r="2667">
      <c r="A2667" t="inlineStr">
        <is>
          <t xml:space="preserve">minute </t>
        </is>
      </c>
      <c r="B2667">
        <f>VLOOKUP(535,Requirements!A2:B2967,2,FALSE)</f>
        <v/>
      </c>
    </row>
    <row r="2668">
      <c r="A2668" t="inlineStr">
        <is>
          <t xml:space="preserve">minute </t>
        </is>
      </c>
      <c r="B2668">
        <f>VLOOKUP(961,Requirements!A2:B2967,2,FALSE)</f>
        <v/>
      </c>
    </row>
    <row r="2669">
      <c r="A2669" t="inlineStr">
        <is>
          <t xml:space="preserve">minute </t>
        </is>
      </c>
      <c r="B2669">
        <f>VLOOKUP(1040,Requirements!A2:B2967,2,FALSE)</f>
        <v/>
      </c>
    </row>
    <row r="2670">
      <c r="A2670" t="inlineStr">
        <is>
          <t xml:space="preserve">minute </t>
        </is>
      </c>
      <c r="B2670">
        <f>VLOOKUP(1078,Requirements!A2:B2967,2,FALSE)</f>
        <v/>
      </c>
    </row>
    <row r="2671">
      <c r="A2671" t="inlineStr">
        <is>
          <t xml:space="preserve">minute </t>
        </is>
      </c>
      <c r="B2671">
        <f>VLOOKUP(1085,Requirements!A2:B2967,2,FALSE)</f>
        <v/>
      </c>
    </row>
    <row r="2672">
      <c r="A2672" t="inlineStr">
        <is>
          <t xml:space="preserve">minute </t>
        </is>
      </c>
      <c r="B2672">
        <f>VLOOKUP(1158,Requirements!A2:B2967,2,FALSE)</f>
        <v/>
      </c>
    </row>
    <row r="2673">
      <c r="A2673" t="inlineStr">
        <is>
          <t xml:space="preserve">minute </t>
        </is>
      </c>
      <c r="B2673">
        <f>VLOOKUP(1219,Requirements!A2:B2967,2,FALSE)</f>
        <v/>
      </c>
    </row>
    <row r="2674">
      <c r="A2674" t="inlineStr">
        <is>
          <t xml:space="preserve">minute </t>
        </is>
      </c>
      <c r="B2674">
        <f>VLOOKUP(1423,Requirements!A2:B2967,2,FALSE)</f>
        <v/>
      </c>
    </row>
    <row r="2675">
      <c r="A2675" t="inlineStr">
        <is>
          <t xml:space="preserve">minute </t>
        </is>
      </c>
      <c r="B2675">
        <f>VLOOKUP(1495,Requirements!A2:B2967,2,FALSE)</f>
        <v/>
      </c>
    </row>
    <row r="2676">
      <c r="A2676" t="inlineStr">
        <is>
          <t xml:space="preserve">minute </t>
        </is>
      </c>
      <c r="B2676">
        <f>VLOOKUP(1578,Requirements!A2:B2967,2,FALSE)</f>
        <v/>
      </c>
    </row>
    <row r="2677">
      <c r="A2677" t="inlineStr">
        <is>
          <t xml:space="preserve">minute </t>
        </is>
      </c>
      <c r="B2677">
        <f>VLOOKUP(1825,Requirements!A2:B2967,2,FALSE)</f>
        <v/>
      </c>
    </row>
    <row r="2678">
      <c r="A2678" t="inlineStr">
        <is>
          <t xml:space="preserve">minute </t>
        </is>
      </c>
      <c r="B2678">
        <f>VLOOKUP(1866,Requirements!A2:B2967,2,FALSE)</f>
        <v/>
      </c>
    </row>
    <row r="2679">
      <c r="A2679" t="inlineStr">
        <is>
          <t xml:space="preserve">minute </t>
        </is>
      </c>
      <c r="B2679">
        <f>VLOOKUP(1920,Requirements!A2:B2967,2,FALSE)</f>
        <v/>
      </c>
    </row>
    <row r="2680">
      <c r="A2680" t="inlineStr">
        <is>
          <t xml:space="preserve">minute </t>
        </is>
      </c>
      <c r="B2680">
        <f>VLOOKUP(1922,Requirements!A2:B2967,2,FALSE)</f>
        <v/>
      </c>
    </row>
    <row r="2681">
      <c r="A2681" t="inlineStr">
        <is>
          <t xml:space="preserve">minute </t>
        </is>
      </c>
      <c r="B2681">
        <f>VLOOKUP(1956,Requirements!A2:B2967,2,FALSE)</f>
        <v/>
      </c>
    </row>
    <row r="2682">
      <c r="A2682" t="inlineStr">
        <is>
          <t xml:space="preserve">minute </t>
        </is>
      </c>
      <c r="B2682">
        <f>VLOOKUP(2219,Requirements!A2:B2967,2,FALSE)</f>
        <v/>
      </c>
    </row>
    <row r="2683">
      <c r="A2683" t="inlineStr">
        <is>
          <t xml:space="preserve">minute </t>
        </is>
      </c>
      <c r="B2683">
        <f>VLOOKUP(2234,Requirements!A2:B2967,2,FALSE)</f>
        <v/>
      </c>
    </row>
    <row r="2684">
      <c r="A2684" t="inlineStr">
        <is>
          <t xml:space="preserve">minute </t>
        </is>
      </c>
      <c r="B2684">
        <f>VLOOKUP(2587,Requirements!A2:B2967,2,FALSE)</f>
        <v/>
      </c>
    </row>
    <row r="2685">
      <c r="A2685" t="inlineStr">
        <is>
          <t xml:space="preserve">minute </t>
        </is>
      </c>
      <c r="B2685">
        <f>VLOOKUP(2762,Requirements!A2:B2967,2,FALSE)</f>
        <v/>
      </c>
    </row>
    <row r="2686">
      <c r="A2686" t="inlineStr">
        <is>
          <t xml:space="preserve">minute </t>
        </is>
      </c>
      <c r="B2686">
        <f>VLOOKUP(3179,Requirements!A2:B2967,2,FALSE)</f>
        <v/>
      </c>
    </row>
    <row r="2687">
      <c r="A2687" t="inlineStr">
        <is>
          <t xml:space="preserve">minute </t>
        </is>
      </c>
      <c r="B2687">
        <f>VLOOKUP(3273,Requirements!A2:B2967,2,FALSE)</f>
        <v/>
      </c>
    </row>
    <row r="2688">
      <c r="A2688" t="inlineStr">
        <is>
          <t xml:space="preserve">late </t>
        </is>
      </c>
      <c r="B2688">
        <f>VLOOKUP(15,Requirements!A2:B2967,2,FALSE)</f>
        <v/>
      </c>
    </row>
    <row r="2689">
      <c r="A2689" t="inlineStr">
        <is>
          <t xml:space="preserve">late </t>
        </is>
      </c>
      <c r="B2689">
        <f>VLOOKUP(363,Requirements!A2:B2967,2,FALSE)</f>
        <v/>
      </c>
    </row>
    <row r="2690">
      <c r="A2690" t="inlineStr">
        <is>
          <t xml:space="preserve">late </t>
        </is>
      </c>
      <c r="B2690">
        <f>VLOOKUP(579,Requirements!A2:B2967,2,FALSE)</f>
        <v/>
      </c>
    </row>
    <row r="2691">
      <c r="A2691" t="inlineStr">
        <is>
          <t xml:space="preserve">late </t>
        </is>
      </c>
      <c r="B2691">
        <f>VLOOKUP(625,Requirements!A2:B2967,2,FALSE)</f>
        <v/>
      </c>
    </row>
    <row r="2692">
      <c r="A2692" t="inlineStr">
        <is>
          <t xml:space="preserve">late </t>
        </is>
      </c>
      <c r="B2692">
        <f>VLOOKUP(972,Requirements!A2:B2967,2,FALSE)</f>
        <v/>
      </c>
    </row>
    <row r="2693">
      <c r="A2693" t="inlineStr">
        <is>
          <t xml:space="preserve">late </t>
        </is>
      </c>
      <c r="B2693">
        <f>VLOOKUP(1292,Requirements!A2:B2967,2,FALSE)</f>
        <v/>
      </c>
    </row>
    <row r="2694">
      <c r="A2694" t="inlineStr">
        <is>
          <t xml:space="preserve">late </t>
        </is>
      </c>
      <c r="B2694">
        <f>VLOOKUP(1815,Requirements!A2:B2967,2,FALSE)</f>
        <v/>
      </c>
    </row>
    <row r="2695">
      <c r="A2695" t="inlineStr">
        <is>
          <t xml:space="preserve">late </t>
        </is>
      </c>
      <c r="B2695">
        <f>VLOOKUP(1906,Requirements!A2:B2967,2,FALSE)</f>
        <v/>
      </c>
    </row>
    <row r="2696">
      <c r="A2696" t="inlineStr">
        <is>
          <t xml:space="preserve">late </t>
        </is>
      </c>
      <c r="B2696">
        <f>VLOOKUP(2106,Requirements!A2:B2967,2,FALSE)</f>
        <v/>
      </c>
    </row>
    <row r="2697">
      <c r="A2697" t="inlineStr">
        <is>
          <t xml:space="preserve">late </t>
        </is>
      </c>
      <c r="B2697">
        <f>VLOOKUP(2121,Requirements!A2:B2967,2,FALSE)</f>
        <v/>
      </c>
    </row>
    <row r="2698">
      <c r="A2698" t="inlineStr">
        <is>
          <t xml:space="preserve">late </t>
        </is>
      </c>
      <c r="B2698">
        <f>VLOOKUP(2488,Requirements!A2:B2967,2,FALSE)</f>
        <v/>
      </c>
    </row>
    <row r="2699">
      <c r="A2699" t="inlineStr">
        <is>
          <t xml:space="preserve">late </t>
        </is>
      </c>
      <c r="B2699">
        <f>VLOOKUP(2503,Requirements!A2:B2967,2,FALSE)</f>
        <v/>
      </c>
    </row>
    <row r="2700">
      <c r="A2700" t="inlineStr">
        <is>
          <t xml:space="preserve">pet owner </t>
        </is>
      </c>
      <c r="B2700">
        <f>VLOOKUP(16,Requirements!A2:B2967,2,FALSE)</f>
        <v/>
      </c>
    </row>
    <row r="2701">
      <c r="A2701" t="inlineStr">
        <is>
          <t xml:space="preserve">pet owner </t>
        </is>
      </c>
      <c r="B2701">
        <f>VLOOKUP(58,Requirements!A2:B2967,2,FALSE)</f>
        <v/>
      </c>
    </row>
    <row r="2702">
      <c r="A2702" t="inlineStr">
        <is>
          <t xml:space="preserve">pet owner </t>
        </is>
      </c>
      <c r="B2702">
        <f>VLOOKUP(61,Requirements!A2:B2967,2,FALSE)</f>
        <v/>
      </c>
    </row>
    <row r="2703">
      <c r="A2703" t="inlineStr">
        <is>
          <t xml:space="preserve">pet owner </t>
        </is>
      </c>
      <c r="B2703">
        <f>VLOOKUP(91,Requirements!A2:B2967,2,FALSE)</f>
        <v/>
      </c>
    </row>
    <row r="2704">
      <c r="A2704" t="inlineStr">
        <is>
          <t xml:space="preserve">pet owner </t>
        </is>
      </c>
      <c r="B2704">
        <f>VLOOKUP(94,Requirements!A2:B2967,2,FALSE)</f>
        <v/>
      </c>
    </row>
    <row r="2705">
      <c r="A2705" t="inlineStr">
        <is>
          <t xml:space="preserve">pet owner </t>
        </is>
      </c>
      <c r="B2705">
        <f>VLOOKUP(304,Requirements!A2:B2967,2,FALSE)</f>
        <v/>
      </c>
    </row>
    <row r="2706">
      <c r="A2706" t="inlineStr">
        <is>
          <t xml:space="preserve">pet owner </t>
        </is>
      </c>
      <c r="B2706">
        <f>VLOOKUP(328,Requirements!A2:B2967,2,FALSE)</f>
        <v/>
      </c>
    </row>
    <row r="2707">
      <c r="A2707" t="inlineStr">
        <is>
          <t xml:space="preserve">pet owner </t>
        </is>
      </c>
      <c r="B2707">
        <f>VLOOKUP(347,Requirements!A2:B2967,2,FALSE)</f>
        <v/>
      </c>
    </row>
    <row r="2708">
      <c r="A2708" t="inlineStr">
        <is>
          <t xml:space="preserve">pet owner </t>
        </is>
      </c>
      <c r="B2708">
        <f>VLOOKUP(358,Requirements!A2:B2967,2,FALSE)</f>
        <v/>
      </c>
    </row>
    <row r="2709">
      <c r="A2709" t="inlineStr">
        <is>
          <t xml:space="preserve">pet owner </t>
        </is>
      </c>
      <c r="B2709">
        <f>VLOOKUP(364,Requirements!A2:B2967,2,FALSE)</f>
        <v/>
      </c>
    </row>
    <row r="2710">
      <c r="A2710" t="inlineStr">
        <is>
          <t xml:space="preserve">pet owner </t>
        </is>
      </c>
      <c r="B2710">
        <f>VLOOKUP(399,Requirements!A2:B2967,2,FALSE)</f>
        <v/>
      </c>
    </row>
    <row r="2711">
      <c r="A2711" t="inlineStr">
        <is>
          <t xml:space="preserve">pet owner </t>
        </is>
      </c>
      <c r="B2711">
        <f>VLOOKUP(411,Requirements!A2:B2967,2,FALSE)</f>
        <v/>
      </c>
    </row>
    <row r="2712">
      <c r="A2712" t="inlineStr">
        <is>
          <t xml:space="preserve">pet owner </t>
        </is>
      </c>
      <c r="B2712">
        <f>VLOOKUP(421,Requirements!A2:B2967,2,FALSE)</f>
        <v/>
      </c>
    </row>
    <row r="2713">
      <c r="A2713" t="inlineStr">
        <is>
          <t xml:space="preserve">pet owner </t>
        </is>
      </c>
      <c r="B2713">
        <f>VLOOKUP(446,Requirements!A2:B2967,2,FALSE)</f>
        <v/>
      </c>
    </row>
    <row r="2714">
      <c r="A2714" t="inlineStr">
        <is>
          <t xml:space="preserve">pet owner </t>
        </is>
      </c>
      <c r="B2714">
        <f>VLOOKUP(458,Requirements!A2:B2967,2,FALSE)</f>
        <v/>
      </c>
    </row>
    <row r="2715">
      <c r="A2715" t="inlineStr">
        <is>
          <t xml:space="preserve">pet owner </t>
        </is>
      </c>
      <c r="B2715">
        <f>VLOOKUP(501,Requirements!A2:B2967,2,FALSE)</f>
        <v/>
      </c>
    </row>
    <row r="2716">
      <c r="A2716" t="inlineStr">
        <is>
          <t xml:space="preserve">pet owner </t>
        </is>
      </c>
      <c r="B2716">
        <f>VLOOKUP(526,Requirements!A2:B2967,2,FALSE)</f>
        <v/>
      </c>
    </row>
    <row r="2717">
      <c r="A2717" t="inlineStr">
        <is>
          <t xml:space="preserve">pet owner </t>
        </is>
      </c>
      <c r="B2717">
        <f>VLOOKUP(555,Requirements!A2:B2967,2,FALSE)</f>
        <v/>
      </c>
    </row>
    <row r="2718">
      <c r="A2718" t="inlineStr">
        <is>
          <t xml:space="preserve">pet owner </t>
        </is>
      </c>
      <c r="B2718">
        <f>VLOOKUP(556,Requirements!A2:B2967,2,FALSE)</f>
        <v/>
      </c>
    </row>
    <row r="2719">
      <c r="A2719" t="inlineStr">
        <is>
          <t xml:space="preserve">pet owner </t>
        </is>
      </c>
      <c r="B2719">
        <f>VLOOKUP(607,Requirements!A2:B2967,2,FALSE)</f>
        <v/>
      </c>
    </row>
    <row r="2720">
      <c r="A2720" t="inlineStr">
        <is>
          <t xml:space="preserve">pet owner </t>
        </is>
      </c>
      <c r="B2720">
        <f>VLOOKUP(653,Requirements!A2:B2967,2,FALSE)</f>
        <v/>
      </c>
    </row>
    <row r="2721">
      <c r="A2721" t="inlineStr">
        <is>
          <t xml:space="preserve">pet owner </t>
        </is>
      </c>
      <c r="B2721">
        <f>VLOOKUP(707,Requirements!A2:B2967,2,FALSE)</f>
        <v/>
      </c>
    </row>
    <row r="2722">
      <c r="A2722" t="inlineStr">
        <is>
          <t xml:space="preserve">pet owner </t>
        </is>
      </c>
      <c r="B2722">
        <f>VLOOKUP(747,Requirements!A2:B2967,2,FALSE)</f>
        <v/>
      </c>
    </row>
    <row r="2723">
      <c r="A2723" t="inlineStr">
        <is>
          <t xml:space="preserve">pet owner </t>
        </is>
      </c>
      <c r="B2723">
        <f>VLOOKUP(750,Requirements!A2:B2967,2,FALSE)</f>
        <v/>
      </c>
    </row>
    <row r="2724">
      <c r="A2724" t="inlineStr">
        <is>
          <t xml:space="preserve">pet owner </t>
        </is>
      </c>
      <c r="B2724">
        <f>VLOOKUP(751,Requirements!A2:B2967,2,FALSE)</f>
        <v/>
      </c>
    </row>
    <row r="2725">
      <c r="A2725" t="inlineStr">
        <is>
          <t xml:space="preserve">pet owner </t>
        </is>
      </c>
      <c r="B2725">
        <f>VLOOKUP(759,Requirements!A2:B2967,2,FALSE)</f>
        <v/>
      </c>
    </row>
    <row r="2726">
      <c r="A2726" t="inlineStr">
        <is>
          <t xml:space="preserve">pet owner </t>
        </is>
      </c>
      <c r="B2726">
        <f>VLOOKUP(760,Requirements!A2:B2967,2,FALSE)</f>
        <v/>
      </c>
    </row>
    <row r="2727">
      <c r="A2727" t="inlineStr">
        <is>
          <t xml:space="preserve">pet owner </t>
        </is>
      </c>
      <c r="B2727">
        <f>VLOOKUP(802,Requirements!A2:B2967,2,FALSE)</f>
        <v/>
      </c>
    </row>
    <row r="2728">
      <c r="A2728" t="inlineStr">
        <is>
          <t xml:space="preserve">pet owner </t>
        </is>
      </c>
      <c r="B2728">
        <f>VLOOKUP(854,Requirements!A2:B2967,2,FALSE)</f>
        <v/>
      </c>
    </row>
    <row r="2729">
      <c r="A2729" t="inlineStr">
        <is>
          <t xml:space="preserve">pet owner </t>
        </is>
      </c>
      <c r="B2729">
        <f>VLOOKUP(873,Requirements!A2:B2967,2,FALSE)</f>
        <v/>
      </c>
    </row>
    <row r="2730">
      <c r="A2730" t="inlineStr">
        <is>
          <t xml:space="preserve">pet owner </t>
        </is>
      </c>
      <c r="B2730">
        <f>VLOOKUP(905,Requirements!A2:B2967,2,FALSE)</f>
        <v/>
      </c>
    </row>
    <row r="2731">
      <c r="A2731" t="inlineStr">
        <is>
          <t xml:space="preserve">pet owner </t>
        </is>
      </c>
      <c r="B2731">
        <f>VLOOKUP(910,Requirements!A2:B2967,2,FALSE)</f>
        <v/>
      </c>
    </row>
    <row r="2732">
      <c r="A2732" t="inlineStr">
        <is>
          <t xml:space="preserve">pet owner </t>
        </is>
      </c>
      <c r="B2732">
        <f>VLOOKUP(913,Requirements!A2:B2967,2,FALSE)</f>
        <v/>
      </c>
    </row>
    <row r="2733">
      <c r="A2733" t="inlineStr">
        <is>
          <t xml:space="preserve">pet owner </t>
        </is>
      </c>
      <c r="B2733">
        <f>VLOOKUP(1051,Requirements!A2:B2967,2,FALSE)</f>
        <v/>
      </c>
    </row>
    <row r="2734">
      <c r="A2734" t="inlineStr">
        <is>
          <t xml:space="preserve">pet owner </t>
        </is>
      </c>
      <c r="B2734">
        <f>VLOOKUP(1134,Requirements!A2:B2967,2,FALSE)</f>
        <v/>
      </c>
    </row>
    <row r="2735">
      <c r="A2735" t="inlineStr">
        <is>
          <t xml:space="preserve">pet owner </t>
        </is>
      </c>
      <c r="B2735">
        <f>VLOOKUP(1147,Requirements!A2:B2967,2,FALSE)</f>
        <v/>
      </c>
    </row>
    <row r="2736">
      <c r="A2736" t="inlineStr">
        <is>
          <t xml:space="preserve">pet owner </t>
        </is>
      </c>
      <c r="B2736">
        <f>VLOOKUP(1149,Requirements!A2:B2967,2,FALSE)</f>
        <v/>
      </c>
    </row>
    <row r="2737">
      <c r="A2737" t="inlineStr">
        <is>
          <t xml:space="preserve">pet owner </t>
        </is>
      </c>
      <c r="B2737">
        <f>VLOOKUP(1154,Requirements!A2:B2967,2,FALSE)</f>
        <v/>
      </c>
    </row>
    <row r="2738">
      <c r="A2738" t="inlineStr">
        <is>
          <t xml:space="preserve">pet owner </t>
        </is>
      </c>
      <c r="B2738">
        <f>VLOOKUP(1187,Requirements!A2:B2967,2,FALSE)</f>
        <v/>
      </c>
    </row>
    <row r="2739">
      <c r="A2739" t="inlineStr">
        <is>
          <t xml:space="preserve">pet owner </t>
        </is>
      </c>
      <c r="B2739">
        <f>VLOOKUP(1188,Requirements!A2:B2967,2,FALSE)</f>
        <v/>
      </c>
    </row>
    <row r="2740">
      <c r="A2740" t="inlineStr">
        <is>
          <t xml:space="preserve">pet owner </t>
        </is>
      </c>
      <c r="B2740">
        <f>VLOOKUP(1248,Requirements!A2:B2967,2,FALSE)</f>
        <v/>
      </c>
    </row>
    <row r="2741">
      <c r="A2741" t="inlineStr">
        <is>
          <t xml:space="preserve">pet owner </t>
        </is>
      </c>
      <c r="B2741">
        <f>VLOOKUP(1265,Requirements!A2:B2967,2,FALSE)</f>
        <v/>
      </c>
    </row>
    <row r="2742">
      <c r="A2742" t="inlineStr">
        <is>
          <t xml:space="preserve">pet owner </t>
        </is>
      </c>
      <c r="B2742">
        <f>VLOOKUP(1335,Requirements!A2:B2967,2,FALSE)</f>
        <v/>
      </c>
    </row>
    <row r="2743">
      <c r="A2743" t="inlineStr">
        <is>
          <t xml:space="preserve">pet owner </t>
        </is>
      </c>
      <c r="B2743">
        <f>VLOOKUP(1363,Requirements!A2:B2967,2,FALSE)</f>
        <v/>
      </c>
    </row>
    <row r="2744">
      <c r="A2744" t="inlineStr">
        <is>
          <t xml:space="preserve">pet owner </t>
        </is>
      </c>
      <c r="B2744">
        <f>VLOOKUP(1403,Requirements!A2:B2967,2,FALSE)</f>
        <v/>
      </c>
    </row>
    <row r="2745">
      <c r="A2745" t="inlineStr">
        <is>
          <t xml:space="preserve">pet owner </t>
        </is>
      </c>
      <c r="B2745">
        <f>VLOOKUP(1411,Requirements!A2:B2967,2,FALSE)</f>
        <v/>
      </c>
    </row>
    <row r="2746">
      <c r="A2746" t="inlineStr">
        <is>
          <t xml:space="preserve">pet owner </t>
        </is>
      </c>
      <c r="B2746">
        <f>VLOOKUP(1421,Requirements!A2:B2967,2,FALSE)</f>
        <v/>
      </c>
    </row>
    <row r="2747">
      <c r="A2747" t="inlineStr">
        <is>
          <t xml:space="preserve">pet owner </t>
        </is>
      </c>
      <c r="B2747">
        <f>VLOOKUP(1473,Requirements!A2:B2967,2,FALSE)</f>
        <v/>
      </c>
    </row>
    <row r="2748">
      <c r="A2748" t="inlineStr">
        <is>
          <t xml:space="preserve">pet owner </t>
        </is>
      </c>
      <c r="B2748">
        <f>VLOOKUP(1495,Requirements!A2:B2967,2,FALSE)</f>
        <v/>
      </c>
    </row>
    <row r="2749">
      <c r="A2749" t="inlineStr">
        <is>
          <t xml:space="preserve">pet owner </t>
        </is>
      </c>
      <c r="B2749">
        <f>VLOOKUP(1501,Requirements!A2:B2967,2,FALSE)</f>
        <v/>
      </c>
    </row>
    <row r="2750">
      <c r="A2750" t="inlineStr">
        <is>
          <t xml:space="preserve">pet owner </t>
        </is>
      </c>
      <c r="B2750">
        <f>VLOOKUP(1505,Requirements!A2:B2967,2,FALSE)</f>
        <v/>
      </c>
    </row>
    <row r="2751">
      <c r="A2751" t="inlineStr">
        <is>
          <t xml:space="preserve">pet owner </t>
        </is>
      </c>
      <c r="B2751">
        <f>VLOOKUP(1548,Requirements!A2:B2967,2,FALSE)</f>
        <v/>
      </c>
    </row>
    <row r="2752">
      <c r="A2752" t="inlineStr">
        <is>
          <t xml:space="preserve">pet owner </t>
        </is>
      </c>
      <c r="B2752">
        <f>VLOOKUP(1550,Requirements!A2:B2967,2,FALSE)</f>
        <v/>
      </c>
    </row>
    <row r="2753">
      <c r="A2753" t="inlineStr">
        <is>
          <t xml:space="preserve">pet owner </t>
        </is>
      </c>
      <c r="B2753">
        <f>VLOOKUP(1558,Requirements!A2:B2967,2,FALSE)</f>
        <v/>
      </c>
    </row>
    <row r="2754">
      <c r="A2754" t="inlineStr">
        <is>
          <t xml:space="preserve">pet owner </t>
        </is>
      </c>
      <c r="B2754">
        <f>VLOOKUP(1564,Requirements!A2:B2967,2,FALSE)</f>
        <v/>
      </c>
    </row>
    <row r="2755">
      <c r="A2755" t="inlineStr">
        <is>
          <t xml:space="preserve">pet owner </t>
        </is>
      </c>
      <c r="B2755">
        <f>VLOOKUP(1575,Requirements!A2:B2967,2,FALSE)</f>
        <v/>
      </c>
    </row>
    <row r="2756">
      <c r="A2756" t="inlineStr">
        <is>
          <t xml:space="preserve">pet owner </t>
        </is>
      </c>
      <c r="B2756">
        <f>VLOOKUP(1576,Requirements!A2:B2967,2,FALSE)</f>
        <v/>
      </c>
    </row>
    <row r="2757">
      <c r="A2757" t="inlineStr">
        <is>
          <t xml:space="preserve">pet owner </t>
        </is>
      </c>
      <c r="B2757">
        <f>VLOOKUP(1590,Requirements!A2:B2967,2,FALSE)</f>
        <v/>
      </c>
    </row>
    <row r="2758">
      <c r="A2758" t="inlineStr">
        <is>
          <t xml:space="preserve">pet owner </t>
        </is>
      </c>
      <c r="B2758">
        <f>VLOOKUP(1616,Requirements!A2:B2967,2,FALSE)</f>
        <v/>
      </c>
    </row>
    <row r="2759">
      <c r="A2759" t="inlineStr">
        <is>
          <t xml:space="preserve">pet owner </t>
        </is>
      </c>
      <c r="B2759">
        <f>VLOOKUP(1664,Requirements!A2:B2967,2,FALSE)</f>
        <v/>
      </c>
    </row>
    <row r="2760">
      <c r="A2760" t="inlineStr">
        <is>
          <t xml:space="preserve">pet owner </t>
        </is>
      </c>
      <c r="B2760">
        <f>VLOOKUP(1668,Requirements!A2:B2967,2,FALSE)</f>
        <v/>
      </c>
    </row>
    <row r="2761">
      <c r="A2761" t="inlineStr">
        <is>
          <t xml:space="preserve">pet owner </t>
        </is>
      </c>
      <c r="B2761">
        <f>VLOOKUP(1682,Requirements!A2:B2967,2,FALSE)</f>
        <v/>
      </c>
    </row>
    <row r="2762">
      <c r="A2762" t="inlineStr">
        <is>
          <t xml:space="preserve">pet owner </t>
        </is>
      </c>
      <c r="B2762">
        <f>VLOOKUP(1781,Requirements!A2:B2967,2,FALSE)</f>
        <v/>
      </c>
    </row>
    <row r="2763">
      <c r="A2763" t="inlineStr">
        <is>
          <t xml:space="preserve">pet owner </t>
        </is>
      </c>
      <c r="B2763">
        <f>VLOOKUP(1789,Requirements!A2:B2967,2,FALSE)</f>
        <v/>
      </c>
    </row>
    <row r="2764">
      <c r="A2764" t="inlineStr">
        <is>
          <t xml:space="preserve">pet owner </t>
        </is>
      </c>
      <c r="B2764">
        <f>VLOOKUP(1804,Requirements!A2:B2967,2,FALSE)</f>
        <v/>
      </c>
    </row>
    <row r="2765">
      <c r="A2765" t="inlineStr">
        <is>
          <t xml:space="preserve">pet owner </t>
        </is>
      </c>
      <c r="B2765">
        <f>VLOOKUP(1811,Requirements!A2:B2967,2,FALSE)</f>
        <v/>
      </c>
    </row>
    <row r="2766">
      <c r="A2766" t="inlineStr">
        <is>
          <t xml:space="preserve">pet owner </t>
        </is>
      </c>
      <c r="B2766">
        <f>VLOOKUP(1817,Requirements!A2:B2967,2,FALSE)</f>
        <v/>
      </c>
    </row>
    <row r="2767">
      <c r="A2767" t="inlineStr">
        <is>
          <t xml:space="preserve">pet owner </t>
        </is>
      </c>
      <c r="B2767">
        <f>VLOOKUP(1851,Requirements!A2:B2967,2,FALSE)</f>
        <v/>
      </c>
    </row>
    <row r="2768">
      <c r="A2768" t="inlineStr">
        <is>
          <t xml:space="preserve">pet owner </t>
        </is>
      </c>
      <c r="B2768">
        <f>VLOOKUP(1894,Requirements!A2:B2967,2,FALSE)</f>
        <v/>
      </c>
    </row>
    <row r="2769">
      <c r="A2769" t="inlineStr">
        <is>
          <t xml:space="preserve">pet owner </t>
        </is>
      </c>
      <c r="B2769">
        <f>VLOOKUP(1906,Requirements!A2:B2967,2,FALSE)</f>
        <v/>
      </c>
    </row>
    <row r="2770">
      <c r="A2770" t="inlineStr">
        <is>
          <t xml:space="preserve">pet owner </t>
        </is>
      </c>
      <c r="B2770">
        <f>VLOOKUP(1916,Requirements!A2:B2967,2,FALSE)</f>
        <v/>
      </c>
    </row>
    <row r="2771">
      <c r="A2771" t="inlineStr">
        <is>
          <t xml:space="preserve">pet owner </t>
        </is>
      </c>
      <c r="B2771">
        <f>VLOOKUP(1929,Requirements!A2:B2967,2,FALSE)</f>
        <v/>
      </c>
    </row>
    <row r="2772">
      <c r="A2772" t="inlineStr">
        <is>
          <t xml:space="preserve">pet owner </t>
        </is>
      </c>
      <c r="B2772">
        <f>VLOOKUP(1934,Requirements!A2:B2967,2,FALSE)</f>
        <v/>
      </c>
    </row>
    <row r="2773">
      <c r="A2773" t="inlineStr">
        <is>
          <t xml:space="preserve">pet owner </t>
        </is>
      </c>
      <c r="B2773">
        <f>VLOOKUP(1935,Requirements!A2:B2967,2,FALSE)</f>
        <v/>
      </c>
    </row>
    <row r="2774">
      <c r="A2774" t="inlineStr">
        <is>
          <t xml:space="preserve">pet owner </t>
        </is>
      </c>
      <c r="B2774">
        <f>VLOOKUP(1945,Requirements!A2:B2967,2,FALSE)</f>
        <v/>
      </c>
    </row>
    <row r="2775">
      <c r="A2775" t="inlineStr">
        <is>
          <t xml:space="preserve">pet owner </t>
        </is>
      </c>
      <c r="B2775">
        <f>VLOOKUP(1998,Requirements!A2:B2967,2,FALSE)</f>
        <v/>
      </c>
    </row>
    <row r="2776">
      <c r="A2776" t="inlineStr">
        <is>
          <t xml:space="preserve">pet owner </t>
        </is>
      </c>
      <c r="B2776">
        <f>VLOOKUP(2000,Requirements!A2:B2967,2,FALSE)</f>
        <v/>
      </c>
    </row>
    <row r="2777">
      <c r="A2777" t="inlineStr">
        <is>
          <t xml:space="preserve">pet owner </t>
        </is>
      </c>
      <c r="B2777">
        <f>VLOOKUP(2027,Requirements!A2:B2967,2,FALSE)</f>
        <v/>
      </c>
    </row>
    <row r="2778">
      <c r="A2778" t="inlineStr">
        <is>
          <t xml:space="preserve">pet owner </t>
        </is>
      </c>
      <c r="B2778">
        <f>VLOOKUP(2077,Requirements!A2:B2967,2,FALSE)</f>
        <v/>
      </c>
    </row>
    <row r="2779">
      <c r="A2779" t="inlineStr">
        <is>
          <t xml:space="preserve">pet owner </t>
        </is>
      </c>
      <c r="B2779">
        <f>VLOOKUP(2085,Requirements!A2:B2967,2,FALSE)</f>
        <v/>
      </c>
    </row>
    <row r="2780">
      <c r="A2780" t="inlineStr">
        <is>
          <t xml:space="preserve">pet owner </t>
        </is>
      </c>
      <c r="B2780">
        <f>VLOOKUP(2146,Requirements!A2:B2967,2,FALSE)</f>
        <v/>
      </c>
    </row>
    <row r="2781">
      <c r="A2781" t="inlineStr">
        <is>
          <t xml:space="preserve">pet owner </t>
        </is>
      </c>
      <c r="B2781">
        <f>VLOOKUP(2150,Requirements!A2:B2967,2,FALSE)</f>
        <v/>
      </c>
    </row>
    <row r="2782">
      <c r="A2782" t="inlineStr">
        <is>
          <t xml:space="preserve">pet owner </t>
        </is>
      </c>
      <c r="B2782">
        <f>VLOOKUP(2171,Requirements!A2:B2967,2,FALSE)</f>
        <v/>
      </c>
    </row>
    <row r="2783">
      <c r="A2783" t="inlineStr">
        <is>
          <t xml:space="preserve">pet owner </t>
        </is>
      </c>
      <c r="B2783">
        <f>VLOOKUP(2177,Requirements!A2:B2967,2,FALSE)</f>
        <v/>
      </c>
    </row>
    <row r="2784">
      <c r="A2784" t="inlineStr">
        <is>
          <t xml:space="preserve">pet owner </t>
        </is>
      </c>
      <c r="B2784">
        <f>VLOOKUP(2298,Requirements!A2:B2967,2,FALSE)</f>
        <v/>
      </c>
    </row>
    <row r="2785">
      <c r="A2785" t="inlineStr">
        <is>
          <t xml:space="preserve">pet owner </t>
        </is>
      </c>
      <c r="B2785">
        <f>VLOOKUP(2316,Requirements!A2:B2967,2,FALSE)</f>
        <v/>
      </c>
    </row>
    <row r="2786">
      <c r="A2786" t="inlineStr">
        <is>
          <t xml:space="preserve">pet owner </t>
        </is>
      </c>
      <c r="B2786">
        <f>VLOOKUP(2371,Requirements!A2:B2967,2,FALSE)</f>
        <v/>
      </c>
    </row>
    <row r="2787">
      <c r="A2787" t="inlineStr">
        <is>
          <t xml:space="preserve">pet owner </t>
        </is>
      </c>
      <c r="B2787">
        <f>VLOOKUP(2400,Requirements!A2:B2967,2,FALSE)</f>
        <v/>
      </c>
    </row>
    <row r="2788">
      <c r="A2788" t="inlineStr">
        <is>
          <t xml:space="preserve">pet owner </t>
        </is>
      </c>
      <c r="B2788">
        <f>VLOOKUP(2420,Requirements!A2:B2967,2,FALSE)</f>
        <v/>
      </c>
    </row>
    <row r="2789">
      <c r="A2789" t="inlineStr">
        <is>
          <t xml:space="preserve">pet owner </t>
        </is>
      </c>
      <c r="B2789">
        <f>VLOOKUP(2430,Requirements!A2:B2967,2,FALSE)</f>
        <v/>
      </c>
    </row>
    <row r="2790">
      <c r="A2790" t="inlineStr">
        <is>
          <t xml:space="preserve">pet owner </t>
        </is>
      </c>
      <c r="B2790">
        <f>VLOOKUP(2482,Requirements!A2:B2967,2,FALSE)</f>
        <v/>
      </c>
    </row>
    <row r="2791">
      <c r="A2791" t="inlineStr">
        <is>
          <t xml:space="preserve">pet owner </t>
        </is>
      </c>
      <c r="B2791">
        <f>VLOOKUP(2495,Requirements!A2:B2967,2,FALSE)</f>
        <v/>
      </c>
    </row>
    <row r="2792">
      <c r="A2792" t="inlineStr">
        <is>
          <t xml:space="preserve">pet owner </t>
        </is>
      </c>
      <c r="B2792">
        <f>VLOOKUP(2498,Requirements!A2:B2967,2,FALSE)</f>
        <v/>
      </c>
    </row>
    <row r="2793">
      <c r="A2793" t="inlineStr">
        <is>
          <t xml:space="preserve">pet owner </t>
        </is>
      </c>
      <c r="B2793">
        <f>VLOOKUP(2511,Requirements!A2:B2967,2,FALSE)</f>
        <v/>
      </c>
    </row>
    <row r="2794">
      <c r="A2794" t="inlineStr">
        <is>
          <t xml:space="preserve">pet owner </t>
        </is>
      </c>
      <c r="B2794">
        <f>VLOOKUP(2516,Requirements!A2:B2967,2,FALSE)</f>
        <v/>
      </c>
    </row>
    <row r="2795">
      <c r="A2795" t="inlineStr">
        <is>
          <t xml:space="preserve">pet owner </t>
        </is>
      </c>
      <c r="B2795">
        <f>VLOOKUP(2517,Requirements!A2:B2967,2,FALSE)</f>
        <v/>
      </c>
    </row>
    <row r="2796">
      <c r="A2796" t="inlineStr">
        <is>
          <t xml:space="preserve">pet owner </t>
        </is>
      </c>
      <c r="B2796">
        <f>VLOOKUP(2518,Requirements!A2:B2967,2,FALSE)</f>
        <v/>
      </c>
    </row>
    <row r="2797">
      <c r="A2797" t="inlineStr">
        <is>
          <t xml:space="preserve">pet owner </t>
        </is>
      </c>
      <c r="B2797">
        <f>VLOOKUP(2533,Requirements!A2:B2967,2,FALSE)</f>
        <v/>
      </c>
    </row>
    <row r="2798">
      <c r="A2798" t="inlineStr">
        <is>
          <t xml:space="preserve">pet owner </t>
        </is>
      </c>
      <c r="B2798">
        <f>VLOOKUP(2574,Requirements!A2:B2967,2,FALSE)</f>
        <v/>
      </c>
    </row>
    <row r="2799">
      <c r="A2799" t="inlineStr">
        <is>
          <t xml:space="preserve">pet owner </t>
        </is>
      </c>
      <c r="B2799">
        <f>VLOOKUP(2651,Requirements!A2:B2967,2,FALSE)</f>
        <v/>
      </c>
    </row>
    <row r="2800">
      <c r="A2800" t="inlineStr">
        <is>
          <t xml:space="preserve">pet owner </t>
        </is>
      </c>
      <c r="B2800">
        <f>VLOOKUP(2664,Requirements!A2:B2967,2,FALSE)</f>
        <v/>
      </c>
    </row>
    <row r="2801">
      <c r="A2801" t="inlineStr">
        <is>
          <t xml:space="preserve">pet owner </t>
        </is>
      </c>
      <c r="B2801">
        <f>VLOOKUP(2670,Requirements!A2:B2967,2,FALSE)</f>
        <v/>
      </c>
    </row>
    <row r="2802">
      <c r="A2802" t="inlineStr">
        <is>
          <t xml:space="preserve">pet owner </t>
        </is>
      </c>
      <c r="B2802">
        <f>VLOOKUP(2677,Requirements!A2:B2967,2,FALSE)</f>
        <v/>
      </c>
    </row>
    <row r="2803">
      <c r="A2803" t="inlineStr">
        <is>
          <t xml:space="preserve">pet owner </t>
        </is>
      </c>
      <c r="B2803">
        <f>VLOOKUP(2689,Requirements!A2:B2967,2,FALSE)</f>
        <v/>
      </c>
    </row>
    <row r="2804">
      <c r="A2804" t="inlineStr">
        <is>
          <t xml:space="preserve">pet owner </t>
        </is>
      </c>
      <c r="B2804">
        <f>VLOOKUP(2692,Requirements!A2:B2967,2,FALSE)</f>
        <v/>
      </c>
    </row>
    <row r="2805">
      <c r="A2805" t="inlineStr">
        <is>
          <t xml:space="preserve">pet owner </t>
        </is>
      </c>
      <c r="B2805">
        <f>VLOOKUP(2701,Requirements!A2:B2967,2,FALSE)</f>
        <v/>
      </c>
    </row>
    <row r="2806">
      <c r="A2806" t="inlineStr">
        <is>
          <t xml:space="preserve">pet owner </t>
        </is>
      </c>
      <c r="B2806">
        <f>VLOOKUP(2728,Requirements!A2:B2967,2,FALSE)</f>
        <v/>
      </c>
    </row>
    <row r="2807">
      <c r="A2807" t="inlineStr">
        <is>
          <t xml:space="preserve">pet owner </t>
        </is>
      </c>
      <c r="B2807">
        <f>VLOOKUP(2781,Requirements!A2:B2967,2,FALSE)</f>
        <v/>
      </c>
    </row>
    <row r="2808">
      <c r="A2808" t="inlineStr">
        <is>
          <t xml:space="preserve">pet owner </t>
        </is>
      </c>
      <c r="B2808">
        <f>VLOOKUP(2799,Requirements!A2:B2967,2,FALSE)</f>
        <v/>
      </c>
    </row>
    <row r="2809">
      <c r="A2809" t="inlineStr">
        <is>
          <t xml:space="preserve">pet owner </t>
        </is>
      </c>
      <c r="B2809">
        <f>VLOOKUP(2800,Requirements!A2:B2967,2,FALSE)</f>
        <v/>
      </c>
    </row>
    <row r="2810">
      <c r="A2810" t="inlineStr">
        <is>
          <t xml:space="preserve">pet owner </t>
        </is>
      </c>
      <c r="B2810">
        <f>VLOOKUP(2801,Requirements!A2:B2967,2,FALSE)</f>
        <v/>
      </c>
    </row>
    <row r="2811">
      <c r="A2811" t="inlineStr">
        <is>
          <t xml:space="preserve">pet owner </t>
        </is>
      </c>
      <c r="B2811">
        <f>VLOOKUP(2804,Requirements!A2:B2967,2,FALSE)</f>
        <v/>
      </c>
    </row>
    <row r="2812">
      <c r="A2812" t="inlineStr">
        <is>
          <t xml:space="preserve">pet owner </t>
        </is>
      </c>
      <c r="B2812">
        <f>VLOOKUP(2805,Requirements!A2:B2967,2,FALSE)</f>
        <v/>
      </c>
    </row>
    <row r="2813">
      <c r="A2813" t="inlineStr">
        <is>
          <t xml:space="preserve">pet owner </t>
        </is>
      </c>
      <c r="B2813">
        <f>VLOOKUP(2806,Requirements!A2:B2967,2,FALSE)</f>
        <v/>
      </c>
    </row>
    <row r="2814">
      <c r="A2814" t="inlineStr">
        <is>
          <t xml:space="preserve">pet owner </t>
        </is>
      </c>
      <c r="B2814">
        <f>VLOOKUP(2807,Requirements!A2:B2967,2,FALSE)</f>
        <v/>
      </c>
    </row>
    <row r="2815">
      <c r="A2815" t="inlineStr">
        <is>
          <t xml:space="preserve">pet owner </t>
        </is>
      </c>
      <c r="B2815">
        <f>VLOOKUP(2839,Requirements!A2:B2967,2,FALSE)</f>
        <v/>
      </c>
    </row>
    <row r="2816">
      <c r="A2816" t="inlineStr">
        <is>
          <t xml:space="preserve">pet owner </t>
        </is>
      </c>
      <c r="B2816">
        <f>VLOOKUP(2840,Requirements!A2:B2967,2,FALSE)</f>
        <v/>
      </c>
    </row>
    <row r="2817">
      <c r="A2817" t="inlineStr">
        <is>
          <t xml:space="preserve">pet owner </t>
        </is>
      </c>
      <c r="B2817">
        <f>VLOOKUP(2847,Requirements!A2:B2967,2,FALSE)</f>
        <v/>
      </c>
    </row>
    <row r="2818">
      <c r="A2818" t="inlineStr">
        <is>
          <t xml:space="preserve">pet owner </t>
        </is>
      </c>
      <c r="B2818">
        <f>VLOOKUP(2890,Requirements!A2:B2967,2,FALSE)</f>
        <v/>
      </c>
    </row>
    <row r="2819">
      <c r="A2819" t="inlineStr">
        <is>
          <t xml:space="preserve">pet owner </t>
        </is>
      </c>
      <c r="B2819">
        <f>VLOOKUP(2912,Requirements!A2:B2967,2,FALSE)</f>
        <v/>
      </c>
    </row>
    <row r="2820">
      <c r="A2820" t="inlineStr">
        <is>
          <t xml:space="preserve">pet owner </t>
        </is>
      </c>
      <c r="B2820">
        <f>VLOOKUP(2937,Requirements!A2:B2967,2,FALSE)</f>
        <v/>
      </c>
    </row>
    <row r="2821">
      <c r="A2821" t="inlineStr">
        <is>
          <t xml:space="preserve">pet owner </t>
        </is>
      </c>
      <c r="B2821">
        <f>VLOOKUP(2944,Requirements!A2:B2967,2,FALSE)</f>
        <v/>
      </c>
    </row>
    <row r="2822">
      <c r="A2822" t="inlineStr">
        <is>
          <t xml:space="preserve">pet owner </t>
        </is>
      </c>
      <c r="B2822">
        <f>VLOOKUP(2948,Requirements!A2:B2967,2,FALSE)</f>
        <v/>
      </c>
    </row>
    <row r="2823">
      <c r="A2823" t="inlineStr">
        <is>
          <t xml:space="preserve">pet owner </t>
        </is>
      </c>
      <c r="B2823">
        <f>VLOOKUP(2955,Requirements!A2:B2967,2,FALSE)</f>
        <v/>
      </c>
    </row>
    <row r="2824">
      <c r="A2824" t="inlineStr">
        <is>
          <t xml:space="preserve">pet owner </t>
        </is>
      </c>
      <c r="B2824">
        <f>VLOOKUP(2966,Requirements!A2:B2967,2,FALSE)</f>
        <v/>
      </c>
    </row>
    <row r="2825">
      <c r="A2825" t="inlineStr">
        <is>
          <t xml:space="preserve">pet owner </t>
        </is>
      </c>
      <c r="B2825">
        <f>VLOOKUP(2985,Requirements!A2:B2967,2,FALSE)</f>
        <v/>
      </c>
    </row>
    <row r="2826">
      <c r="A2826" t="inlineStr">
        <is>
          <t xml:space="preserve">pet owner </t>
        </is>
      </c>
      <c r="B2826">
        <f>VLOOKUP(3029,Requirements!A2:B2967,2,FALSE)</f>
        <v/>
      </c>
    </row>
    <row r="2827">
      <c r="A2827" t="inlineStr">
        <is>
          <t xml:space="preserve">pet owner </t>
        </is>
      </c>
      <c r="B2827">
        <f>VLOOKUP(3063,Requirements!A2:B2967,2,FALSE)</f>
        <v/>
      </c>
    </row>
    <row r="2828">
      <c r="A2828" t="inlineStr">
        <is>
          <t xml:space="preserve">pet owner </t>
        </is>
      </c>
      <c r="B2828">
        <f>VLOOKUP(3071,Requirements!A2:B2967,2,FALSE)</f>
        <v/>
      </c>
    </row>
    <row r="2829">
      <c r="A2829" t="inlineStr">
        <is>
          <t xml:space="preserve">pet owner </t>
        </is>
      </c>
      <c r="B2829">
        <f>VLOOKUP(3096,Requirements!A2:B2967,2,FALSE)</f>
        <v/>
      </c>
    </row>
    <row r="2830">
      <c r="A2830" t="inlineStr">
        <is>
          <t xml:space="preserve">pet owner </t>
        </is>
      </c>
      <c r="B2830">
        <f>VLOOKUP(3128,Requirements!A2:B2967,2,FALSE)</f>
        <v/>
      </c>
    </row>
    <row r="2831">
      <c r="A2831" t="inlineStr">
        <is>
          <t xml:space="preserve">pet owner </t>
        </is>
      </c>
      <c r="B2831">
        <f>VLOOKUP(3158,Requirements!A2:B2967,2,FALSE)</f>
        <v/>
      </c>
    </row>
    <row r="2832">
      <c r="A2832" t="inlineStr">
        <is>
          <t xml:space="preserve">pet owner </t>
        </is>
      </c>
      <c r="B2832">
        <f>VLOOKUP(3165,Requirements!A2:B2967,2,FALSE)</f>
        <v/>
      </c>
    </row>
    <row r="2833">
      <c r="A2833" t="inlineStr">
        <is>
          <t xml:space="preserve">pet owner </t>
        </is>
      </c>
      <c r="B2833">
        <f>VLOOKUP(3167,Requirements!A2:B2967,2,FALSE)</f>
        <v/>
      </c>
    </row>
    <row r="2834">
      <c r="A2834" t="inlineStr">
        <is>
          <t xml:space="preserve">pet owner </t>
        </is>
      </c>
      <c r="B2834">
        <f>VLOOKUP(3194,Requirements!A2:B2967,2,FALSE)</f>
        <v/>
      </c>
    </row>
    <row r="2835">
      <c r="A2835" t="inlineStr">
        <is>
          <t xml:space="preserve">pet owner </t>
        </is>
      </c>
      <c r="B2835">
        <f>VLOOKUP(3221,Requirements!A2:B2967,2,FALSE)</f>
        <v/>
      </c>
    </row>
    <row r="2836">
      <c r="A2836" t="inlineStr">
        <is>
          <t xml:space="preserve">pet owner </t>
        </is>
      </c>
      <c r="B2836">
        <f>VLOOKUP(3256,Requirements!A2:B2967,2,FALSE)</f>
        <v/>
      </c>
    </row>
    <row r="2837">
      <c r="A2837" t="inlineStr">
        <is>
          <t xml:space="preserve">pet owner </t>
        </is>
      </c>
      <c r="B2837">
        <f>VLOOKUP(3272,Requirements!A2:B2967,2,FALSE)</f>
        <v/>
      </c>
    </row>
    <row r="2838">
      <c r="A2838" t="inlineStr">
        <is>
          <t xml:space="preserve">safe </t>
        </is>
      </c>
      <c r="B2838">
        <f>VLOOKUP(16,Requirements!A2:B2967,2,FALSE)</f>
        <v/>
      </c>
    </row>
    <row r="2839">
      <c r="A2839" t="inlineStr">
        <is>
          <t xml:space="preserve">safe </t>
        </is>
      </c>
      <c r="B2839">
        <f>VLOOKUP(20,Requirements!A2:B2967,2,FALSE)</f>
        <v/>
      </c>
    </row>
    <row r="2840">
      <c r="A2840" t="inlineStr">
        <is>
          <t xml:space="preserve">safe </t>
        </is>
      </c>
      <c r="B2840">
        <f>VLOOKUP(41,Requirements!A2:B2967,2,FALSE)</f>
        <v/>
      </c>
    </row>
    <row r="2841">
      <c r="A2841" t="inlineStr">
        <is>
          <t xml:space="preserve">safe </t>
        </is>
      </c>
      <c r="B2841">
        <f>VLOOKUP(52,Requirements!A2:B2967,2,FALSE)</f>
        <v/>
      </c>
    </row>
    <row r="2842">
      <c r="A2842" t="inlineStr">
        <is>
          <t xml:space="preserve">safe </t>
        </is>
      </c>
      <c r="B2842">
        <f>VLOOKUP(155,Requirements!A2:B2967,2,FALSE)</f>
        <v/>
      </c>
    </row>
    <row r="2843">
      <c r="A2843" t="inlineStr">
        <is>
          <t xml:space="preserve">safe </t>
        </is>
      </c>
      <c r="B2843">
        <f>VLOOKUP(187,Requirements!A2:B2967,2,FALSE)</f>
        <v/>
      </c>
    </row>
    <row r="2844">
      <c r="A2844" t="inlineStr">
        <is>
          <t xml:space="preserve">safe </t>
        </is>
      </c>
      <c r="B2844">
        <f>VLOOKUP(190,Requirements!A2:B2967,2,FALSE)</f>
        <v/>
      </c>
    </row>
    <row r="2845">
      <c r="A2845" t="inlineStr">
        <is>
          <t xml:space="preserve">safe </t>
        </is>
      </c>
      <c r="B2845">
        <f>VLOOKUP(222,Requirements!A2:B2967,2,FALSE)</f>
        <v/>
      </c>
    </row>
    <row r="2846">
      <c r="A2846" t="inlineStr">
        <is>
          <t xml:space="preserve">safe </t>
        </is>
      </c>
      <c r="B2846">
        <f>VLOOKUP(293,Requirements!A2:B2967,2,FALSE)</f>
        <v/>
      </c>
    </row>
    <row r="2847">
      <c r="A2847" t="inlineStr">
        <is>
          <t xml:space="preserve">safe </t>
        </is>
      </c>
      <c r="B2847">
        <f>VLOOKUP(441,Requirements!A2:B2967,2,FALSE)</f>
        <v/>
      </c>
    </row>
    <row r="2848">
      <c r="A2848" t="inlineStr">
        <is>
          <t xml:space="preserve">safe </t>
        </is>
      </c>
      <c r="B2848">
        <f>VLOOKUP(442,Requirements!A2:B2967,2,FALSE)</f>
        <v/>
      </c>
    </row>
    <row r="2849">
      <c r="A2849" t="inlineStr">
        <is>
          <t xml:space="preserve">safe </t>
        </is>
      </c>
      <c r="B2849">
        <f>VLOOKUP(470,Requirements!A2:B2967,2,FALSE)</f>
        <v/>
      </c>
    </row>
    <row r="2850">
      <c r="A2850" t="inlineStr">
        <is>
          <t xml:space="preserve">safe </t>
        </is>
      </c>
      <c r="B2850">
        <f>VLOOKUP(556,Requirements!A2:B2967,2,FALSE)</f>
        <v/>
      </c>
    </row>
    <row r="2851">
      <c r="A2851" t="inlineStr">
        <is>
          <t xml:space="preserve">safe </t>
        </is>
      </c>
      <c r="B2851">
        <f>VLOOKUP(729,Requirements!A2:B2967,2,FALSE)</f>
        <v/>
      </c>
    </row>
    <row r="2852">
      <c r="A2852" t="inlineStr">
        <is>
          <t xml:space="preserve">safe </t>
        </is>
      </c>
      <c r="B2852">
        <f>VLOOKUP(757,Requirements!A2:B2967,2,FALSE)</f>
        <v/>
      </c>
    </row>
    <row r="2853">
      <c r="A2853" t="inlineStr">
        <is>
          <t xml:space="preserve">safe </t>
        </is>
      </c>
      <c r="B2853">
        <f>VLOOKUP(784,Requirements!A2:B2967,2,FALSE)</f>
        <v/>
      </c>
    </row>
    <row r="2854">
      <c r="A2854" t="inlineStr">
        <is>
          <t xml:space="preserve">safe </t>
        </is>
      </c>
      <c r="B2854">
        <f>VLOOKUP(814,Requirements!A2:B2967,2,FALSE)</f>
        <v/>
      </c>
    </row>
    <row r="2855">
      <c r="A2855" t="inlineStr">
        <is>
          <t xml:space="preserve">safe </t>
        </is>
      </c>
      <c r="B2855">
        <f>VLOOKUP(884,Requirements!A2:B2967,2,FALSE)</f>
        <v/>
      </c>
    </row>
    <row r="2856">
      <c r="A2856" t="inlineStr">
        <is>
          <t xml:space="preserve">safe </t>
        </is>
      </c>
      <c r="B2856">
        <f>VLOOKUP(894,Requirements!A2:B2967,2,FALSE)</f>
        <v/>
      </c>
    </row>
    <row r="2857">
      <c r="A2857" t="inlineStr">
        <is>
          <t xml:space="preserve">safe </t>
        </is>
      </c>
      <c r="B2857">
        <f>VLOOKUP(901,Requirements!A2:B2967,2,FALSE)</f>
        <v/>
      </c>
    </row>
    <row r="2858">
      <c r="A2858" t="inlineStr">
        <is>
          <t xml:space="preserve">safe </t>
        </is>
      </c>
      <c r="B2858">
        <f>VLOOKUP(958,Requirements!A2:B2967,2,FALSE)</f>
        <v/>
      </c>
    </row>
    <row r="2859">
      <c r="A2859" t="inlineStr">
        <is>
          <t xml:space="preserve">safe </t>
        </is>
      </c>
      <c r="B2859">
        <f>VLOOKUP(1001,Requirements!A2:B2967,2,FALSE)</f>
        <v/>
      </c>
    </row>
    <row r="2860">
      <c r="A2860" t="inlineStr">
        <is>
          <t xml:space="preserve">safe </t>
        </is>
      </c>
      <c r="B2860">
        <f>VLOOKUP(1046,Requirements!A2:B2967,2,FALSE)</f>
        <v/>
      </c>
    </row>
    <row r="2861">
      <c r="A2861" t="inlineStr">
        <is>
          <t xml:space="preserve">safe </t>
        </is>
      </c>
      <c r="B2861">
        <f>VLOOKUP(1087,Requirements!A2:B2967,2,FALSE)</f>
        <v/>
      </c>
    </row>
    <row r="2862">
      <c r="A2862" t="inlineStr">
        <is>
          <t xml:space="preserve">safe </t>
        </is>
      </c>
      <c r="B2862">
        <f>VLOOKUP(1097,Requirements!A2:B2967,2,FALSE)</f>
        <v/>
      </c>
    </row>
    <row r="2863">
      <c r="A2863" t="inlineStr">
        <is>
          <t xml:space="preserve">safe </t>
        </is>
      </c>
      <c r="B2863">
        <f>VLOOKUP(1101,Requirements!A2:B2967,2,FALSE)</f>
        <v/>
      </c>
    </row>
    <row r="2864">
      <c r="A2864" t="inlineStr">
        <is>
          <t xml:space="preserve">safe </t>
        </is>
      </c>
      <c r="B2864">
        <f>VLOOKUP(1107,Requirements!A2:B2967,2,FALSE)</f>
        <v/>
      </c>
    </row>
    <row r="2865">
      <c r="A2865" t="inlineStr">
        <is>
          <t xml:space="preserve">safe </t>
        </is>
      </c>
      <c r="B2865">
        <f>VLOOKUP(1131,Requirements!A2:B2967,2,FALSE)</f>
        <v/>
      </c>
    </row>
    <row r="2866">
      <c r="A2866" t="inlineStr">
        <is>
          <t xml:space="preserve">safe </t>
        </is>
      </c>
      <c r="B2866">
        <f>VLOOKUP(1159,Requirements!A2:B2967,2,FALSE)</f>
        <v/>
      </c>
    </row>
    <row r="2867">
      <c r="A2867" t="inlineStr">
        <is>
          <t xml:space="preserve">safe </t>
        </is>
      </c>
      <c r="B2867">
        <f>VLOOKUP(1160,Requirements!A2:B2967,2,FALSE)</f>
        <v/>
      </c>
    </row>
    <row r="2868">
      <c r="A2868" t="inlineStr">
        <is>
          <t xml:space="preserve">safe </t>
        </is>
      </c>
      <c r="B2868">
        <f>VLOOKUP(1210,Requirements!A2:B2967,2,FALSE)</f>
        <v/>
      </c>
    </row>
    <row r="2869">
      <c r="A2869" t="inlineStr">
        <is>
          <t xml:space="preserve">safe </t>
        </is>
      </c>
      <c r="B2869">
        <f>VLOOKUP(1270,Requirements!A2:B2967,2,FALSE)</f>
        <v/>
      </c>
    </row>
    <row r="2870">
      <c r="A2870" t="inlineStr">
        <is>
          <t xml:space="preserve">safe </t>
        </is>
      </c>
      <c r="B2870">
        <f>VLOOKUP(1273,Requirements!A2:B2967,2,FALSE)</f>
        <v/>
      </c>
    </row>
    <row r="2871">
      <c r="A2871" t="inlineStr">
        <is>
          <t xml:space="preserve">safe </t>
        </is>
      </c>
      <c r="B2871">
        <f>VLOOKUP(1341,Requirements!A2:B2967,2,FALSE)</f>
        <v/>
      </c>
    </row>
    <row r="2872">
      <c r="A2872" t="inlineStr">
        <is>
          <t xml:space="preserve">safe </t>
        </is>
      </c>
      <c r="B2872">
        <f>VLOOKUP(1344,Requirements!A2:B2967,2,FALSE)</f>
        <v/>
      </c>
    </row>
    <row r="2873">
      <c r="A2873" t="inlineStr">
        <is>
          <t xml:space="preserve">safe </t>
        </is>
      </c>
      <c r="B2873">
        <f>VLOOKUP(1368,Requirements!A2:B2967,2,FALSE)</f>
        <v/>
      </c>
    </row>
    <row r="2874">
      <c r="A2874" t="inlineStr">
        <is>
          <t xml:space="preserve">safe </t>
        </is>
      </c>
      <c r="B2874">
        <f>VLOOKUP(1376,Requirements!A2:B2967,2,FALSE)</f>
        <v/>
      </c>
    </row>
    <row r="2875">
      <c r="A2875" t="inlineStr">
        <is>
          <t xml:space="preserve">safe </t>
        </is>
      </c>
      <c r="B2875">
        <f>VLOOKUP(1386,Requirements!A2:B2967,2,FALSE)</f>
        <v/>
      </c>
    </row>
    <row r="2876">
      <c r="A2876" t="inlineStr">
        <is>
          <t xml:space="preserve">safe </t>
        </is>
      </c>
      <c r="B2876">
        <f>VLOOKUP(1493,Requirements!A2:B2967,2,FALSE)</f>
        <v/>
      </c>
    </row>
    <row r="2877">
      <c r="A2877" t="inlineStr">
        <is>
          <t xml:space="preserve">safe </t>
        </is>
      </c>
      <c r="B2877">
        <f>VLOOKUP(1498,Requirements!A2:B2967,2,FALSE)</f>
        <v/>
      </c>
    </row>
    <row r="2878">
      <c r="A2878" t="inlineStr">
        <is>
          <t xml:space="preserve">safe </t>
        </is>
      </c>
      <c r="B2878">
        <f>VLOOKUP(1508,Requirements!A2:B2967,2,FALSE)</f>
        <v/>
      </c>
    </row>
    <row r="2879">
      <c r="A2879" t="inlineStr">
        <is>
          <t xml:space="preserve">safe </t>
        </is>
      </c>
      <c r="B2879">
        <f>VLOOKUP(1514,Requirements!A2:B2967,2,FALSE)</f>
        <v/>
      </c>
    </row>
    <row r="2880">
      <c r="A2880" t="inlineStr">
        <is>
          <t xml:space="preserve">safe </t>
        </is>
      </c>
      <c r="B2880">
        <f>VLOOKUP(1533,Requirements!A2:B2967,2,FALSE)</f>
        <v/>
      </c>
    </row>
    <row r="2881">
      <c r="A2881" t="inlineStr">
        <is>
          <t xml:space="preserve">safe </t>
        </is>
      </c>
      <c r="B2881">
        <f>VLOOKUP(1548,Requirements!A2:B2967,2,FALSE)</f>
        <v/>
      </c>
    </row>
    <row r="2882">
      <c r="A2882" t="inlineStr">
        <is>
          <t xml:space="preserve">safe </t>
        </is>
      </c>
      <c r="B2882">
        <f>VLOOKUP(1566,Requirements!A2:B2967,2,FALSE)</f>
        <v/>
      </c>
    </row>
    <row r="2883">
      <c r="A2883" t="inlineStr">
        <is>
          <t xml:space="preserve">safe </t>
        </is>
      </c>
      <c r="B2883">
        <f>VLOOKUP(1593,Requirements!A2:B2967,2,FALSE)</f>
        <v/>
      </c>
    </row>
    <row r="2884">
      <c r="A2884" t="inlineStr">
        <is>
          <t xml:space="preserve">safe </t>
        </is>
      </c>
      <c r="B2884">
        <f>VLOOKUP(1597,Requirements!A2:B2967,2,FALSE)</f>
        <v/>
      </c>
    </row>
    <row r="2885">
      <c r="A2885" t="inlineStr">
        <is>
          <t xml:space="preserve">safe </t>
        </is>
      </c>
      <c r="B2885">
        <f>VLOOKUP(1634,Requirements!A2:B2967,2,FALSE)</f>
        <v/>
      </c>
    </row>
    <row r="2886">
      <c r="A2886" t="inlineStr">
        <is>
          <t xml:space="preserve">safe </t>
        </is>
      </c>
      <c r="B2886">
        <f>VLOOKUP(1639,Requirements!A2:B2967,2,FALSE)</f>
        <v/>
      </c>
    </row>
    <row r="2887">
      <c r="A2887" t="inlineStr">
        <is>
          <t xml:space="preserve">safe </t>
        </is>
      </c>
      <c r="B2887">
        <f>VLOOKUP(1667,Requirements!A2:B2967,2,FALSE)</f>
        <v/>
      </c>
    </row>
    <row r="2888">
      <c r="A2888" t="inlineStr">
        <is>
          <t xml:space="preserve">safe </t>
        </is>
      </c>
      <c r="B2888">
        <f>VLOOKUP(1754,Requirements!A2:B2967,2,FALSE)</f>
        <v/>
      </c>
    </row>
    <row r="2889">
      <c r="A2889" t="inlineStr">
        <is>
          <t xml:space="preserve">safe </t>
        </is>
      </c>
      <c r="B2889">
        <f>VLOOKUP(1811,Requirements!A2:B2967,2,FALSE)</f>
        <v/>
      </c>
    </row>
    <row r="2890">
      <c r="A2890" t="inlineStr">
        <is>
          <t xml:space="preserve">safe </t>
        </is>
      </c>
      <c r="B2890">
        <f>VLOOKUP(1828,Requirements!A2:B2967,2,FALSE)</f>
        <v/>
      </c>
    </row>
    <row r="2891">
      <c r="A2891" t="inlineStr">
        <is>
          <t xml:space="preserve">safe </t>
        </is>
      </c>
      <c r="B2891">
        <f>VLOOKUP(1839,Requirements!A2:B2967,2,FALSE)</f>
        <v/>
      </c>
    </row>
    <row r="2892">
      <c r="A2892" t="inlineStr">
        <is>
          <t xml:space="preserve">safe </t>
        </is>
      </c>
      <c r="B2892">
        <f>VLOOKUP(1875,Requirements!A2:B2967,2,FALSE)</f>
        <v/>
      </c>
    </row>
    <row r="2893">
      <c r="A2893" t="inlineStr">
        <is>
          <t xml:space="preserve">safe </t>
        </is>
      </c>
      <c r="B2893">
        <f>VLOOKUP(1884,Requirements!A2:B2967,2,FALSE)</f>
        <v/>
      </c>
    </row>
    <row r="2894">
      <c r="A2894" t="inlineStr">
        <is>
          <t xml:space="preserve">safe </t>
        </is>
      </c>
      <c r="B2894">
        <f>VLOOKUP(1925,Requirements!A2:B2967,2,FALSE)</f>
        <v/>
      </c>
    </row>
    <row r="2895">
      <c r="A2895" t="inlineStr">
        <is>
          <t xml:space="preserve">safe </t>
        </is>
      </c>
      <c r="B2895">
        <f>VLOOKUP(1952,Requirements!A2:B2967,2,FALSE)</f>
        <v/>
      </c>
    </row>
    <row r="2896">
      <c r="A2896" t="inlineStr">
        <is>
          <t xml:space="preserve">safe </t>
        </is>
      </c>
      <c r="B2896">
        <f>VLOOKUP(1969,Requirements!A2:B2967,2,FALSE)</f>
        <v/>
      </c>
    </row>
    <row r="2897">
      <c r="A2897" t="inlineStr">
        <is>
          <t xml:space="preserve">safe </t>
        </is>
      </c>
      <c r="B2897">
        <f>VLOOKUP(1992,Requirements!A2:B2967,2,FALSE)</f>
        <v/>
      </c>
    </row>
    <row r="2898">
      <c r="A2898" t="inlineStr">
        <is>
          <t xml:space="preserve">safe </t>
        </is>
      </c>
      <c r="B2898">
        <f>VLOOKUP(1998,Requirements!A2:B2967,2,FALSE)</f>
        <v/>
      </c>
    </row>
    <row r="2899">
      <c r="A2899" t="inlineStr">
        <is>
          <t xml:space="preserve">safe </t>
        </is>
      </c>
      <c r="B2899">
        <f>VLOOKUP(2014,Requirements!A2:B2967,2,FALSE)</f>
        <v/>
      </c>
    </row>
    <row r="2900">
      <c r="A2900" t="inlineStr">
        <is>
          <t xml:space="preserve">safe </t>
        </is>
      </c>
      <c r="B2900">
        <f>VLOOKUP(2016,Requirements!A2:B2967,2,FALSE)</f>
        <v/>
      </c>
    </row>
    <row r="2901">
      <c r="A2901" t="inlineStr">
        <is>
          <t xml:space="preserve">safe </t>
        </is>
      </c>
      <c r="B2901">
        <f>VLOOKUP(2036,Requirements!A2:B2967,2,FALSE)</f>
        <v/>
      </c>
    </row>
    <row r="2902">
      <c r="A2902" t="inlineStr">
        <is>
          <t xml:space="preserve">safe </t>
        </is>
      </c>
      <c r="B2902">
        <f>VLOOKUP(2042,Requirements!A2:B2967,2,FALSE)</f>
        <v/>
      </c>
    </row>
    <row r="2903">
      <c r="A2903" t="inlineStr">
        <is>
          <t xml:space="preserve">safe </t>
        </is>
      </c>
      <c r="B2903">
        <f>VLOOKUP(2053,Requirements!A2:B2967,2,FALSE)</f>
        <v/>
      </c>
    </row>
    <row r="2904">
      <c r="A2904" t="inlineStr">
        <is>
          <t xml:space="preserve">safe </t>
        </is>
      </c>
      <c r="B2904">
        <f>VLOOKUP(2057,Requirements!A2:B2967,2,FALSE)</f>
        <v/>
      </c>
    </row>
    <row r="2905">
      <c r="A2905" t="inlineStr">
        <is>
          <t xml:space="preserve">safe </t>
        </is>
      </c>
      <c r="B2905">
        <f>VLOOKUP(2073,Requirements!A2:B2967,2,FALSE)</f>
        <v/>
      </c>
    </row>
    <row r="2906">
      <c r="A2906" t="inlineStr">
        <is>
          <t xml:space="preserve">safe </t>
        </is>
      </c>
      <c r="B2906">
        <f>VLOOKUP(2116,Requirements!A2:B2967,2,FALSE)</f>
        <v/>
      </c>
    </row>
    <row r="2907">
      <c r="A2907" t="inlineStr">
        <is>
          <t xml:space="preserve">safe </t>
        </is>
      </c>
      <c r="B2907">
        <f>VLOOKUP(2172,Requirements!A2:B2967,2,FALSE)</f>
        <v/>
      </c>
    </row>
    <row r="2908">
      <c r="A2908" t="inlineStr">
        <is>
          <t xml:space="preserve">safe </t>
        </is>
      </c>
      <c r="B2908">
        <f>VLOOKUP(2173,Requirements!A2:B2967,2,FALSE)</f>
        <v/>
      </c>
    </row>
    <row r="2909">
      <c r="A2909" t="inlineStr">
        <is>
          <t xml:space="preserve">safe </t>
        </is>
      </c>
      <c r="B2909">
        <f>VLOOKUP(2230,Requirements!A2:B2967,2,FALSE)</f>
        <v/>
      </c>
    </row>
    <row r="2910">
      <c r="A2910" t="inlineStr">
        <is>
          <t xml:space="preserve">safe </t>
        </is>
      </c>
      <c r="B2910">
        <f>VLOOKUP(2269,Requirements!A2:B2967,2,FALSE)</f>
        <v/>
      </c>
    </row>
    <row r="2911">
      <c r="A2911" t="inlineStr">
        <is>
          <t xml:space="preserve">safe </t>
        </is>
      </c>
      <c r="B2911">
        <f>VLOOKUP(2272,Requirements!A2:B2967,2,FALSE)</f>
        <v/>
      </c>
    </row>
    <row r="2912">
      <c r="A2912" t="inlineStr">
        <is>
          <t xml:space="preserve">safe </t>
        </is>
      </c>
      <c r="B2912">
        <f>VLOOKUP(2275,Requirements!A2:B2967,2,FALSE)</f>
        <v/>
      </c>
    </row>
    <row r="2913">
      <c r="A2913" t="inlineStr">
        <is>
          <t xml:space="preserve">safe </t>
        </is>
      </c>
      <c r="B2913">
        <f>VLOOKUP(2321,Requirements!A2:B2967,2,FALSE)</f>
        <v/>
      </c>
    </row>
    <row r="2914">
      <c r="A2914" t="inlineStr">
        <is>
          <t xml:space="preserve">safe </t>
        </is>
      </c>
      <c r="B2914">
        <f>VLOOKUP(2330,Requirements!A2:B2967,2,FALSE)</f>
        <v/>
      </c>
    </row>
    <row r="2915">
      <c r="A2915" t="inlineStr">
        <is>
          <t xml:space="preserve">safe </t>
        </is>
      </c>
      <c r="B2915">
        <f>VLOOKUP(2523,Requirements!A2:B2967,2,FALSE)</f>
        <v/>
      </c>
    </row>
    <row r="2916">
      <c r="A2916" t="inlineStr">
        <is>
          <t xml:space="preserve">safe </t>
        </is>
      </c>
      <c r="B2916">
        <f>VLOOKUP(2622,Requirements!A2:B2967,2,FALSE)</f>
        <v/>
      </c>
    </row>
    <row r="2917">
      <c r="A2917" t="inlineStr">
        <is>
          <t xml:space="preserve">safe </t>
        </is>
      </c>
      <c r="B2917">
        <f>VLOOKUP(2653,Requirements!A2:B2967,2,FALSE)</f>
        <v/>
      </c>
    </row>
    <row r="2918">
      <c r="A2918" t="inlineStr">
        <is>
          <t xml:space="preserve">safe </t>
        </is>
      </c>
      <c r="B2918">
        <f>VLOOKUP(2658,Requirements!A2:B2967,2,FALSE)</f>
        <v/>
      </c>
    </row>
    <row r="2919">
      <c r="A2919" t="inlineStr">
        <is>
          <t xml:space="preserve">safe </t>
        </is>
      </c>
      <c r="B2919">
        <f>VLOOKUP(2661,Requirements!A2:B2967,2,FALSE)</f>
        <v/>
      </c>
    </row>
    <row r="2920">
      <c r="A2920" t="inlineStr">
        <is>
          <t xml:space="preserve">safe </t>
        </is>
      </c>
      <c r="B2920">
        <f>VLOOKUP(2666,Requirements!A2:B2967,2,FALSE)</f>
        <v/>
      </c>
    </row>
    <row r="2921">
      <c r="A2921" t="inlineStr">
        <is>
          <t xml:space="preserve">safe </t>
        </is>
      </c>
      <c r="B2921">
        <f>VLOOKUP(2671,Requirements!A2:B2967,2,FALSE)</f>
        <v/>
      </c>
    </row>
    <row r="2922">
      <c r="A2922" t="inlineStr">
        <is>
          <t xml:space="preserve">safe </t>
        </is>
      </c>
      <c r="B2922">
        <f>VLOOKUP(2679,Requirements!A2:B2967,2,FALSE)</f>
        <v/>
      </c>
    </row>
    <row r="2923">
      <c r="A2923" t="inlineStr">
        <is>
          <t xml:space="preserve">safe </t>
        </is>
      </c>
      <c r="B2923">
        <f>VLOOKUP(2735,Requirements!A2:B2967,2,FALSE)</f>
        <v/>
      </c>
    </row>
    <row r="2924">
      <c r="A2924" t="inlineStr">
        <is>
          <t xml:space="preserve">safe </t>
        </is>
      </c>
      <c r="B2924">
        <f>VLOOKUP(2877,Requirements!A2:B2967,2,FALSE)</f>
        <v/>
      </c>
    </row>
    <row r="2925">
      <c r="A2925" t="inlineStr">
        <is>
          <t xml:space="preserve">safe </t>
        </is>
      </c>
      <c r="B2925">
        <f>VLOOKUP(2935,Requirements!A2:B2967,2,FALSE)</f>
        <v/>
      </c>
    </row>
    <row r="2926">
      <c r="A2926" t="inlineStr">
        <is>
          <t xml:space="preserve">safe </t>
        </is>
      </c>
      <c r="B2926">
        <f>VLOOKUP(2959,Requirements!A2:B2967,2,FALSE)</f>
        <v/>
      </c>
    </row>
    <row r="2927">
      <c r="A2927" t="inlineStr">
        <is>
          <t xml:space="preserve">safe </t>
        </is>
      </c>
      <c r="B2927">
        <f>VLOOKUP(3124,Requirements!A2:B2967,2,FALSE)</f>
        <v/>
      </c>
    </row>
    <row r="2928">
      <c r="A2928" t="inlineStr">
        <is>
          <t xml:space="preserve">safe </t>
        </is>
      </c>
      <c r="B2928">
        <f>VLOOKUP(3137,Requirements!A2:B2967,2,FALSE)</f>
        <v/>
      </c>
    </row>
    <row r="2929">
      <c r="A2929" t="inlineStr">
        <is>
          <t xml:space="preserve">safe </t>
        </is>
      </c>
      <c r="B2929">
        <f>VLOOKUP(3175,Requirements!A2:B2967,2,FALSE)</f>
        <v/>
      </c>
    </row>
    <row r="2930">
      <c r="A2930" t="inlineStr">
        <is>
          <t xml:space="preserve">safe </t>
        </is>
      </c>
      <c r="B2930">
        <f>VLOOKUP(3188,Requirements!A2:B2967,2,FALSE)</f>
        <v/>
      </c>
    </row>
    <row r="2931">
      <c r="A2931" t="inlineStr">
        <is>
          <t xml:space="preserve">safe </t>
        </is>
      </c>
      <c r="B2931">
        <f>VLOOKUP(3273,Requirements!A2:B2967,2,FALSE)</f>
        <v/>
      </c>
    </row>
    <row r="2932">
      <c r="A2932" t="inlineStr">
        <is>
          <t xml:space="preserve">safe </t>
        </is>
      </c>
      <c r="B2932">
        <f>VLOOKUP(3275,Requirements!A2:B2967,2,FALSE)</f>
        <v/>
      </c>
    </row>
    <row r="2933">
      <c r="A2933" t="inlineStr">
        <is>
          <t xml:space="preserve">comfortable </t>
        </is>
      </c>
      <c r="B2933">
        <f>VLOOKUP(17,Requirements!A2:B2967,2,FALSE)</f>
        <v/>
      </c>
    </row>
    <row r="2934">
      <c r="A2934" t="inlineStr">
        <is>
          <t xml:space="preserve">comfortable </t>
        </is>
      </c>
      <c r="B2934">
        <f>VLOOKUP(18,Requirements!A2:B2967,2,FALSE)</f>
        <v/>
      </c>
    </row>
    <row r="2935">
      <c r="A2935" t="inlineStr">
        <is>
          <t xml:space="preserve">comfortable </t>
        </is>
      </c>
      <c r="B2935">
        <f>VLOOKUP(43,Requirements!A2:B2967,2,FALSE)</f>
        <v/>
      </c>
    </row>
    <row r="2936">
      <c r="A2936" t="inlineStr">
        <is>
          <t xml:space="preserve">comfortable </t>
        </is>
      </c>
      <c r="B2936">
        <f>VLOOKUP(50,Requirements!A2:B2967,2,FALSE)</f>
        <v/>
      </c>
    </row>
    <row r="2937">
      <c r="A2937" t="inlineStr">
        <is>
          <t xml:space="preserve">comfortable </t>
        </is>
      </c>
      <c r="B2937">
        <f>VLOOKUP(122,Requirements!A2:B2967,2,FALSE)</f>
        <v/>
      </c>
    </row>
    <row r="2938">
      <c r="A2938" t="inlineStr">
        <is>
          <t xml:space="preserve">comfortable </t>
        </is>
      </c>
      <c r="B2938">
        <f>VLOOKUP(269,Requirements!A2:B2967,2,FALSE)</f>
        <v/>
      </c>
    </row>
    <row r="2939">
      <c r="A2939" t="inlineStr">
        <is>
          <t xml:space="preserve">comfortable </t>
        </is>
      </c>
      <c r="B2939">
        <f>VLOOKUP(368,Requirements!A2:B2967,2,FALSE)</f>
        <v/>
      </c>
    </row>
    <row r="2940">
      <c r="A2940" t="inlineStr">
        <is>
          <t xml:space="preserve">comfortable </t>
        </is>
      </c>
      <c r="B2940">
        <f>VLOOKUP(408,Requirements!A2:B2967,2,FALSE)</f>
        <v/>
      </c>
    </row>
    <row r="2941">
      <c r="A2941" t="inlineStr">
        <is>
          <t xml:space="preserve">comfortable </t>
        </is>
      </c>
      <c r="B2941">
        <f>VLOOKUP(421,Requirements!A2:B2967,2,FALSE)</f>
        <v/>
      </c>
    </row>
    <row r="2942">
      <c r="A2942" t="inlineStr">
        <is>
          <t xml:space="preserve">comfortable </t>
        </is>
      </c>
      <c r="B2942">
        <f>VLOOKUP(502,Requirements!A2:B2967,2,FALSE)</f>
        <v/>
      </c>
    </row>
    <row r="2943">
      <c r="A2943" t="inlineStr">
        <is>
          <t xml:space="preserve">comfortable </t>
        </is>
      </c>
      <c r="B2943">
        <f>VLOOKUP(914,Requirements!A2:B2967,2,FALSE)</f>
        <v/>
      </c>
    </row>
    <row r="2944">
      <c r="A2944" t="inlineStr">
        <is>
          <t xml:space="preserve">comfortable </t>
        </is>
      </c>
      <c r="B2944">
        <f>VLOOKUP(1213,Requirements!A2:B2967,2,FALSE)</f>
        <v/>
      </c>
    </row>
    <row r="2945">
      <c r="A2945" t="inlineStr">
        <is>
          <t xml:space="preserve">comfortable </t>
        </is>
      </c>
      <c r="B2945">
        <f>VLOOKUP(1293,Requirements!A2:B2967,2,FALSE)</f>
        <v/>
      </c>
    </row>
    <row r="2946">
      <c r="A2946" t="inlineStr">
        <is>
          <t xml:space="preserve">comfortable </t>
        </is>
      </c>
      <c r="B2946">
        <f>VLOOKUP(1360,Requirements!A2:B2967,2,FALSE)</f>
        <v/>
      </c>
    </row>
    <row r="2947">
      <c r="A2947" t="inlineStr">
        <is>
          <t xml:space="preserve">comfortable </t>
        </is>
      </c>
      <c r="B2947">
        <f>VLOOKUP(1478,Requirements!A2:B2967,2,FALSE)</f>
        <v/>
      </c>
    </row>
    <row r="2948">
      <c r="A2948" t="inlineStr">
        <is>
          <t xml:space="preserve">comfortable </t>
        </is>
      </c>
      <c r="B2948">
        <f>VLOOKUP(1663,Requirements!A2:B2967,2,FALSE)</f>
        <v/>
      </c>
    </row>
    <row r="2949">
      <c r="A2949" t="inlineStr">
        <is>
          <t xml:space="preserve">comfortable </t>
        </is>
      </c>
      <c r="B2949">
        <f>VLOOKUP(2157,Requirements!A2:B2967,2,FALSE)</f>
        <v/>
      </c>
    </row>
    <row r="2950">
      <c r="A2950" t="inlineStr">
        <is>
          <t xml:space="preserve">comfortable </t>
        </is>
      </c>
      <c r="B2950">
        <f>VLOOKUP(2170,Requirements!A2:B2967,2,FALSE)</f>
        <v/>
      </c>
    </row>
    <row r="2951">
      <c r="A2951" t="inlineStr">
        <is>
          <t xml:space="preserve">comfortable </t>
        </is>
      </c>
      <c r="B2951">
        <f>VLOOKUP(2171,Requirements!A2:B2967,2,FALSE)</f>
        <v/>
      </c>
    </row>
    <row r="2952">
      <c r="A2952" t="inlineStr">
        <is>
          <t xml:space="preserve">comfortable </t>
        </is>
      </c>
      <c r="B2952">
        <f>VLOOKUP(2229,Requirements!A2:B2967,2,FALSE)</f>
        <v/>
      </c>
    </row>
    <row r="2953">
      <c r="A2953" t="inlineStr">
        <is>
          <t xml:space="preserve">comfortable </t>
        </is>
      </c>
      <c r="B2953">
        <f>VLOOKUP(2251,Requirements!A2:B2967,2,FALSE)</f>
        <v/>
      </c>
    </row>
    <row r="2954">
      <c r="A2954" t="inlineStr">
        <is>
          <t xml:space="preserve">comfortable </t>
        </is>
      </c>
      <c r="B2954">
        <f>VLOOKUP(2509,Requirements!A2:B2967,2,FALSE)</f>
        <v/>
      </c>
    </row>
    <row r="2955">
      <c r="A2955" t="inlineStr">
        <is>
          <t xml:space="preserve">comfortable </t>
        </is>
      </c>
      <c r="B2955">
        <f>VLOOKUP(2627,Requirements!A2:B2967,2,FALSE)</f>
        <v/>
      </c>
    </row>
    <row r="2956">
      <c r="A2956" t="inlineStr">
        <is>
          <t xml:space="preserve">comfortable </t>
        </is>
      </c>
      <c r="B2956">
        <f>VLOOKUP(2635,Requirements!A2:B2967,2,FALSE)</f>
        <v/>
      </c>
    </row>
    <row r="2957">
      <c r="A2957" t="inlineStr">
        <is>
          <t xml:space="preserve">comfortable </t>
        </is>
      </c>
      <c r="B2957">
        <f>VLOOKUP(2732,Requirements!A2:B2967,2,FALSE)</f>
        <v/>
      </c>
    </row>
    <row r="2958">
      <c r="A2958" t="inlineStr">
        <is>
          <t xml:space="preserve">comfortable </t>
        </is>
      </c>
      <c r="B2958">
        <f>VLOOKUP(2812,Requirements!A2:B2967,2,FALSE)</f>
        <v/>
      </c>
    </row>
    <row r="2959">
      <c r="A2959" t="inlineStr">
        <is>
          <t xml:space="preserve">comfortable </t>
        </is>
      </c>
      <c r="B2959">
        <f>VLOOKUP(3020,Requirements!A2:B2967,2,FALSE)</f>
        <v/>
      </c>
    </row>
    <row r="2960">
      <c r="A2960" t="inlineStr">
        <is>
          <t xml:space="preserve">comfortable </t>
        </is>
      </c>
      <c r="B2960">
        <f>VLOOKUP(3075,Requirements!A2:B2967,2,FALSE)</f>
        <v/>
      </c>
    </row>
    <row r="2961">
      <c r="A2961" t="inlineStr">
        <is>
          <t xml:space="preserve">comfortable </t>
        </is>
      </c>
      <c r="B2961">
        <f>VLOOKUP(3129,Requirements!A2:B2967,2,FALSE)</f>
        <v/>
      </c>
    </row>
    <row r="2962">
      <c r="A2962" t="inlineStr">
        <is>
          <t xml:space="preserve">comfortable </t>
        </is>
      </c>
      <c r="B2962">
        <f>VLOOKUP(3179,Requirements!A2:B2967,2,FALSE)</f>
        <v/>
      </c>
    </row>
    <row r="2963">
      <c r="A2963" t="inlineStr">
        <is>
          <t xml:space="preserve">comfortable </t>
        </is>
      </c>
      <c r="B2963">
        <f>VLOOKUP(3215,Requirements!A2:B2967,2,FALSE)</f>
        <v/>
      </c>
    </row>
    <row r="2964">
      <c r="A2964" t="inlineStr">
        <is>
          <t xml:space="preserve">comfortable </t>
        </is>
      </c>
      <c r="B2964">
        <f>VLOOKUP(3219,Requirements!A2:B2967,2,FALSE)</f>
        <v/>
      </c>
    </row>
    <row r="2965">
      <c r="A2965" t="inlineStr">
        <is>
          <t xml:space="preserve">text </t>
        </is>
      </c>
      <c r="B2965">
        <f>VLOOKUP(18,Requirements!A2:B2967,2,FALSE)</f>
        <v/>
      </c>
    </row>
    <row r="2966">
      <c r="A2966" t="inlineStr">
        <is>
          <t xml:space="preserve">text </t>
        </is>
      </c>
      <c r="B2966">
        <f>VLOOKUP(360,Requirements!A2:B2967,2,FALSE)</f>
        <v/>
      </c>
    </row>
    <row r="2967">
      <c r="A2967" t="inlineStr">
        <is>
          <t xml:space="preserve">text </t>
        </is>
      </c>
      <c r="B2967">
        <f>VLOOKUP(412,Requirements!A2:B2967,2,FALSE)</f>
        <v/>
      </c>
    </row>
    <row r="2968">
      <c r="A2968" t="inlineStr">
        <is>
          <t xml:space="preserve">text </t>
        </is>
      </c>
      <c r="B2968">
        <f>VLOOKUP(413,Requirements!A2:B2967,2,FALSE)</f>
        <v/>
      </c>
    </row>
    <row r="2969">
      <c r="A2969" t="inlineStr">
        <is>
          <t xml:space="preserve">text </t>
        </is>
      </c>
      <c r="B2969">
        <f>VLOOKUP(537,Requirements!A2:B2967,2,FALSE)</f>
        <v/>
      </c>
    </row>
    <row r="2970">
      <c r="A2970" t="inlineStr">
        <is>
          <t xml:space="preserve">text </t>
        </is>
      </c>
      <c r="B2970">
        <f>VLOOKUP(551,Requirements!A2:B2967,2,FALSE)</f>
        <v/>
      </c>
    </row>
    <row r="2971">
      <c r="A2971" t="inlineStr">
        <is>
          <t xml:space="preserve">text </t>
        </is>
      </c>
      <c r="B2971">
        <f>VLOOKUP(673,Requirements!A2:B2967,2,FALSE)</f>
        <v/>
      </c>
    </row>
    <row r="2972">
      <c r="A2972" t="inlineStr">
        <is>
          <t xml:space="preserve">text </t>
        </is>
      </c>
      <c r="B2972">
        <f>VLOOKUP(674,Requirements!A2:B2967,2,FALSE)</f>
        <v/>
      </c>
    </row>
    <row r="2973">
      <c r="A2973" t="inlineStr">
        <is>
          <t xml:space="preserve">text </t>
        </is>
      </c>
      <c r="B2973">
        <f>VLOOKUP(773,Requirements!A2:B2967,2,FALSE)</f>
        <v/>
      </c>
    </row>
    <row r="2974">
      <c r="A2974" t="inlineStr">
        <is>
          <t xml:space="preserve">text </t>
        </is>
      </c>
      <c r="B2974">
        <f>VLOOKUP(776,Requirements!A2:B2967,2,FALSE)</f>
        <v/>
      </c>
    </row>
    <row r="2975">
      <c r="A2975" t="inlineStr">
        <is>
          <t xml:space="preserve">text </t>
        </is>
      </c>
      <c r="B2975">
        <f>VLOOKUP(1499,Requirements!A2:B2967,2,FALSE)</f>
        <v/>
      </c>
    </row>
    <row r="2976">
      <c r="A2976" t="inlineStr">
        <is>
          <t xml:space="preserve">text </t>
        </is>
      </c>
      <c r="B2976">
        <f>VLOOKUP(1522,Requirements!A2:B2967,2,FALSE)</f>
        <v/>
      </c>
    </row>
    <row r="2977">
      <c r="A2977" t="inlineStr">
        <is>
          <t xml:space="preserve">text </t>
        </is>
      </c>
      <c r="B2977">
        <f>VLOOKUP(1578,Requirements!A2:B2967,2,FALSE)</f>
        <v/>
      </c>
    </row>
    <row r="2978">
      <c r="A2978" t="inlineStr">
        <is>
          <t xml:space="preserve">text </t>
        </is>
      </c>
      <c r="B2978">
        <f>VLOOKUP(1695,Requirements!A2:B2967,2,FALSE)</f>
        <v/>
      </c>
    </row>
    <row r="2979">
      <c r="A2979" t="inlineStr">
        <is>
          <t xml:space="preserve">text </t>
        </is>
      </c>
      <c r="B2979">
        <f>VLOOKUP(2145,Requirements!A2:B2967,2,FALSE)</f>
        <v/>
      </c>
    </row>
    <row r="2980">
      <c r="A2980" t="inlineStr">
        <is>
          <t xml:space="preserve">text </t>
        </is>
      </c>
      <c r="B2980">
        <f>VLOOKUP(2230,Requirements!A2:B2967,2,FALSE)</f>
        <v/>
      </c>
    </row>
    <row r="2981">
      <c r="A2981" t="inlineStr">
        <is>
          <t xml:space="preserve">text </t>
        </is>
      </c>
      <c r="B2981">
        <f>VLOOKUP(2301,Requirements!A2:B2967,2,FALSE)</f>
        <v/>
      </c>
    </row>
    <row r="2982">
      <c r="A2982" t="inlineStr">
        <is>
          <t xml:space="preserve">text </t>
        </is>
      </c>
      <c r="B2982">
        <f>VLOOKUP(2380,Requirements!A2:B2967,2,FALSE)</f>
        <v/>
      </c>
    </row>
    <row r="2983">
      <c r="A2983" t="inlineStr">
        <is>
          <t xml:space="preserve">text </t>
        </is>
      </c>
      <c r="B2983">
        <f>VLOOKUP(2500,Requirements!A2:B2967,2,FALSE)</f>
        <v/>
      </c>
    </row>
    <row r="2984">
      <c r="A2984" t="inlineStr">
        <is>
          <t xml:space="preserve">text </t>
        </is>
      </c>
      <c r="B2984">
        <f>VLOOKUP(3122,Requirements!A2:B2967,2,FALSE)</f>
        <v/>
      </c>
    </row>
    <row r="2985">
      <c r="A2985" t="inlineStr">
        <is>
          <t xml:space="preserve">school </t>
        </is>
      </c>
      <c r="B2985">
        <f>VLOOKUP(18,Requirements!A2:B2967,2,FALSE)</f>
        <v/>
      </c>
    </row>
    <row r="2986">
      <c r="A2986" t="inlineStr">
        <is>
          <t xml:space="preserve">school </t>
        </is>
      </c>
      <c r="B2986">
        <f>VLOOKUP(21,Requirements!A2:B2967,2,FALSE)</f>
        <v/>
      </c>
    </row>
    <row r="2987">
      <c r="A2987" t="inlineStr">
        <is>
          <t xml:space="preserve">school </t>
        </is>
      </c>
      <c r="B2987">
        <f>VLOOKUP(175,Requirements!A2:B2967,2,FALSE)</f>
        <v/>
      </c>
    </row>
    <row r="2988">
      <c r="A2988" t="inlineStr">
        <is>
          <t xml:space="preserve">school </t>
        </is>
      </c>
      <c r="B2988">
        <f>VLOOKUP(282,Requirements!A2:B2967,2,FALSE)</f>
        <v/>
      </c>
    </row>
    <row r="2989">
      <c r="A2989" t="inlineStr">
        <is>
          <t xml:space="preserve">school </t>
        </is>
      </c>
      <c r="B2989">
        <f>VLOOKUP(363,Requirements!A2:B2967,2,FALSE)</f>
        <v/>
      </c>
    </row>
    <row r="2990">
      <c r="A2990" t="inlineStr">
        <is>
          <t xml:space="preserve">school </t>
        </is>
      </c>
      <c r="B2990">
        <f>VLOOKUP(696,Requirements!A2:B2967,2,FALSE)</f>
        <v/>
      </c>
    </row>
    <row r="2991">
      <c r="A2991" t="inlineStr">
        <is>
          <t xml:space="preserve">school </t>
        </is>
      </c>
      <c r="B2991">
        <f>VLOOKUP(770,Requirements!A2:B2967,2,FALSE)</f>
        <v/>
      </c>
    </row>
    <row r="2992">
      <c r="A2992" t="inlineStr">
        <is>
          <t xml:space="preserve">school </t>
        </is>
      </c>
      <c r="B2992">
        <f>VLOOKUP(872,Requirements!A2:B2967,2,FALSE)</f>
        <v/>
      </c>
    </row>
    <row r="2993">
      <c r="A2993" t="inlineStr">
        <is>
          <t xml:space="preserve">school </t>
        </is>
      </c>
      <c r="B2993">
        <f>VLOOKUP(955,Requirements!A2:B2967,2,FALSE)</f>
        <v/>
      </c>
    </row>
    <row r="2994">
      <c r="A2994" t="inlineStr">
        <is>
          <t xml:space="preserve">school </t>
        </is>
      </c>
      <c r="B2994">
        <f>VLOOKUP(971,Requirements!A2:B2967,2,FALSE)</f>
        <v/>
      </c>
    </row>
    <row r="2995">
      <c r="A2995" t="inlineStr">
        <is>
          <t xml:space="preserve">school </t>
        </is>
      </c>
      <c r="B2995">
        <f>VLOOKUP(1586,Requirements!A2:B2967,2,FALSE)</f>
        <v/>
      </c>
    </row>
    <row r="2996">
      <c r="A2996" t="inlineStr">
        <is>
          <t xml:space="preserve">school </t>
        </is>
      </c>
      <c r="B2996">
        <f>VLOOKUP(1893,Requirements!A2:B2967,2,FALSE)</f>
        <v/>
      </c>
    </row>
    <row r="2997">
      <c r="A2997" t="inlineStr">
        <is>
          <t xml:space="preserve">school </t>
        </is>
      </c>
      <c r="B2997">
        <f>VLOOKUP(2073,Requirements!A2:B2967,2,FALSE)</f>
        <v/>
      </c>
    </row>
    <row r="2998">
      <c r="A2998" t="inlineStr">
        <is>
          <t xml:space="preserve">school </t>
        </is>
      </c>
      <c r="B2998">
        <f>VLOOKUP(2121,Requirements!A2:B2967,2,FALSE)</f>
        <v/>
      </c>
    </row>
    <row r="2999">
      <c r="A2999" t="inlineStr">
        <is>
          <t xml:space="preserve">school </t>
        </is>
      </c>
      <c r="B2999">
        <f>VLOOKUP(2230,Requirements!A2:B2967,2,FALSE)</f>
        <v/>
      </c>
    </row>
    <row r="3000">
      <c r="A3000" t="inlineStr">
        <is>
          <t xml:space="preserve">school </t>
        </is>
      </c>
      <c r="B3000">
        <f>VLOOKUP(2474,Requirements!A2:B2967,2,FALSE)</f>
        <v/>
      </c>
    </row>
    <row r="3001">
      <c r="A3001" t="inlineStr">
        <is>
          <t xml:space="preserve">school </t>
        </is>
      </c>
      <c r="B3001">
        <f>VLOOKUP(2481,Requirements!A2:B2967,2,FALSE)</f>
        <v/>
      </c>
    </row>
    <row r="3002">
      <c r="A3002" t="inlineStr">
        <is>
          <t xml:space="preserve">school </t>
        </is>
      </c>
      <c r="B3002">
        <f>VLOOKUP(2946,Requirements!A2:B2967,2,FALSE)</f>
        <v/>
      </c>
    </row>
    <row r="3003">
      <c r="A3003" t="inlineStr">
        <is>
          <t xml:space="preserve">school </t>
        </is>
      </c>
      <c r="B3003">
        <f>VLOOKUP(3010,Requirements!A2:B2967,2,FALSE)</f>
        <v/>
      </c>
    </row>
    <row r="3004">
      <c r="A3004" t="inlineStr">
        <is>
          <t xml:space="preserve">day </t>
        </is>
      </c>
      <c r="B3004">
        <f>VLOOKUP(18,Requirements!A2:B2967,2,FALSE)</f>
        <v/>
      </c>
    </row>
    <row r="3005">
      <c r="A3005" t="inlineStr">
        <is>
          <t xml:space="preserve">day </t>
        </is>
      </c>
      <c r="B3005">
        <f>VLOOKUP(25,Requirements!A2:B2967,2,FALSE)</f>
        <v/>
      </c>
    </row>
    <row r="3006">
      <c r="A3006" t="inlineStr">
        <is>
          <t xml:space="preserve">day </t>
        </is>
      </c>
      <c r="B3006">
        <f>VLOOKUP(28,Requirements!A2:B2967,2,FALSE)</f>
        <v/>
      </c>
    </row>
    <row r="3007">
      <c r="A3007" t="inlineStr">
        <is>
          <t xml:space="preserve">day </t>
        </is>
      </c>
      <c r="B3007">
        <f>VLOOKUP(126,Requirements!A2:B2967,2,FALSE)</f>
        <v/>
      </c>
    </row>
    <row r="3008">
      <c r="A3008" t="inlineStr">
        <is>
          <t xml:space="preserve">day </t>
        </is>
      </c>
      <c r="B3008">
        <f>VLOOKUP(204,Requirements!A2:B2967,2,FALSE)</f>
        <v/>
      </c>
    </row>
    <row r="3009">
      <c r="A3009" t="inlineStr">
        <is>
          <t xml:space="preserve">day </t>
        </is>
      </c>
      <c r="B3009">
        <f>VLOOKUP(250,Requirements!A2:B2967,2,FALSE)</f>
        <v/>
      </c>
    </row>
    <row r="3010">
      <c r="A3010" t="inlineStr">
        <is>
          <t xml:space="preserve">day </t>
        </is>
      </c>
      <c r="B3010">
        <f>VLOOKUP(255,Requirements!A2:B2967,2,FALSE)</f>
        <v/>
      </c>
    </row>
    <row r="3011">
      <c r="A3011" t="inlineStr">
        <is>
          <t xml:space="preserve">day </t>
        </is>
      </c>
      <c r="B3011">
        <f>VLOOKUP(308,Requirements!A2:B2967,2,FALSE)</f>
        <v/>
      </c>
    </row>
    <row r="3012">
      <c r="A3012" t="inlineStr">
        <is>
          <t xml:space="preserve">day </t>
        </is>
      </c>
      <c r="B3012">
        <f>VLOOKUP(342,Requirements!A2:B2967,2,FALSE)</f>
        <v/>
      </c>
    </row>
    <row r="3013">
      <c r="A3013" t="inlineStr">
        <is>
          <t xml:space="preserve">day </t>
        </is>
      </c>
      <c r="B3013">
        <f>VLOOKUP(355,Requirements!A2:B2967,2,FALSE)</f>
        <v/>
      </c>
    </row>
    <row r="3014">
      <c r="A3014" t="inlineStr">
        <is>
          <t xml:space="preserve">day </t>
        </is>
      </c>
      <c r="B3014">
        <f>VLOOKUP(370,Requirements!A2:B2967,2,FALSE)</f>
        <v/>
      </c>
    </row>
    <row r="3015">
      <c r="A3015" t="inlineStr">
        <is>
          <t xml:space="preserve">day </t>
        </is>
      </c>
      <c r="B3015">
        <f>VLOOKUP(411,Requirements!A2:B2967,2,FALSE)</f>
        <v/>
      </c>
    </row>
    <row r="3016">
      <c r="A3016" t="inlineStr">
        <is>
          <t xml:space="preserve">day </t>
        </is>
      </c>
      <c r="B3016">
        <f>VLOOKUP(422,Requirements!A2:B2967,2,FALSE)</f>
        <v/>
      </c>
    </row>
    <row r="3017">
      <c r="A3017" t="inlineStr">
        <is>
          <t xml:space="preserve">day </t>
        </is>
      </c>
      <c r="B3017">
        <f>VLOOKUP(437,Requirements!A2:B2967,2,FALSE)</f>
        <v/>
      </c>
    </row>
    <row r="3018">
      <c r="A3018" t="inlineStr">
        <is>
          <t xml:space="preserve">day </t>
        </is>
      </c>
      <c r="B3018">
        <f>VLOOKUP(463,Requirements!A2:B2967,2,FALSE)</f>
        <v/>
      </c>
    </row>
    <row r="3019">
      <c r="A3019" t="inlineStr">
        <is>
          <t xml:space="preserve">day </t>
        </is>
      </c>
      <c r="B3019">
        <f>VLOOKUP(579,Requirements!A2:B2967,2,FALSE)</f>
        <v/>
      </c>
    </row>
    <row r="3020">
      <c r="A3020" t="inlineStr">
        <is>
          <t xml:space="preserve">day </t>
        </is>
      </c>
      <c r="B3020">
        <f>VLOOKUP(583,Requirements!A2:B2967,2,FALSE)</f>
        <v/>
      </c>
    </row>
    <row r="3021">
      <c r="A3021" t="inlineStr">
        <is>
          <t xml:space="preserve">day </t>
        </is>
      </c>
      <c r="B3021">
        <f>VLOOKUP(651,Requirements!A2:B2967,2,FALSE)</f>
        <v/>
      </c>
    </row>
    <row r="3022">
      <c r="A3022" t="inlineStr">
        <is>
          <t xml:space="preserve">day </t>
        </is>
      </c>
      <c r="B3022">
        <f>VLOOKUP(747,Requirements!A2:B2967,2,FALSE)</f>
        <v/>
      </c>
    </row>
    <row r="3023">
      <c r="A3023" t="inlineStr">
        <is>
          <t xml:space="preserve">day </t>
        </is>
      </c>
      <c r="B3023">
        <f>VLOOKUP(773,Requirements!A2:B2967,2,FALSE)</f>
        <v/>
      </c>
    </row>
    <row r="3024">
      <c r="A3024" t="inlineStr">
        <is>
          <t xml:space="preserve">day </t>
        </is>
      </c>
      <c r="B3024">
        <f>VLOOKUP(819,Requirements!A2:B2967,2,FALSE)</f>
        <v/>
      </c>
    </row>
    <row r="3025">
      <c r="A3025" t="inlineStr">
        <is>
          <t xml:space="preserve">day </t>
        </is>
      </c>
      <c r="B3025">
        <f>VLOOKUP(834,Requirements!A2:B2967,2,FALSE)</f>
        <v/>
      </c>
    </row>
    <row r="3026">
      <c r="A3026" t="inlineStr">
        <is>
          <t xml:space="preserve">day </t>
        </is>
      </c>
      <c r="B3026">
        <f>VLOOKUP(873,Requirements!A2:B2967,2,FALSE)</f>
        <v/>
      </c>
    </row>
    <row r="3027">
      <c r="A3027" t="inlineStr">
        <is>
          <t xml:space="preserve">day </t>
        </is>
      </c>
      <c r="B3027">
        <f>VLOOKUP(898,Requirements!A2:B2967,2,FALSE)</f>
        <v/>
      </c>
    </row>
    <row r="3028">
      <c r="A3028" t="inlineStr">
        <is>
          <t xml:space="preserve">day </t>
        </is>
      </c>
      <c r="B3028">
        <f>VLOOKUP(917,Requirements!A2:B2967,2,FALSE)</f>
        <v/>
      </c>
    </row>
    <row r="3029">
      <c r="A3029" t="inlineStr">
        <is>
          <t xml:space="preserve">day </t>
        </is>
      </c>
      <c r="B3029">
        <f>VLOOKUP(935,Requirements!A2:B2967,2,FALSE)</f>
        <v/>
      </c>
    </row>
    <row r="3030">
      <c r="A3030" t="inlineStr">
        <is>
          <t xml:space="preserve">day </t>
        </is>
      </c>
      <c r="B3030">
        <f>VLOOKUP(969,Requirements!A2:B2967,2,FALSE)</f>
        <v/>
      </c>
    </row>
    <row r="3031">
      <c r="A3031" t="inlineStr">
        <is>
          <t xml:space="preserve">day </t>
        </is>
      </c>
      <c r="B3031">
        <f>VLOOKUP(981,Requirements!A2:B2967,2,FALSE)</f>
        <v/>
      </c>
    </row>
    <row r="3032">
      <c r="A3032" t="inlineStr">
        <is>
          <t xml:space="preserve">day </t>
        </is>
      </c>
      <c r="B3032">
        <f>VLOOKUP(982,Requirements!A2:B2967,2,FALSE)</f>
        <v/>
      </c>
    </row>
    <row r="3033">
      <c r="A3033" t="inlineStr">
        <is>
          <t xml:space="preserve">day </t>
        </is>
      </c>
      <c r="B3033">
        <f>VLOOKUP(1003,Requirements!A2:B2967,2,FALSE)</f>
        <v/>
      </c>
    </row>
    <row r="3034">
      <c r="A3034" t="inlineStr">
        <is>
          <t xml:space="preserve">day </t>
        </is>
      </c>
      <c r="B3034">
        <f>VLOOKUP(1076,Requirements!A2:B2967,2,FALSE)</f>
        <v/>
      </c>
    </row>
    <row r="3035">
      <c r="A3035" t="inlineStr">
        <is>
          <t xml:space="preserve">day </t>
        </is>
      </c>
      <c r="B3035">
        <f>VLOOKUP(1094,Requirements!A2:B2967,2,FALSE)</f>
        <v/>
      </c>
    </row>
    <row r="3036">
      <c r="A3036" t="inlineStr">
        <is>
          <t xml:space="preserve">day </t>
        </is>
      </c>
      <c r="B3036">
        <f>VLOOKUP(1098,Requirements!A2:B2967,2,FALSE)</f>
        <v/>
      </c>
    </row>
    <row r="3037">
      <c r="A3037" t="inlineStr">
        <is>
          <t xml:space="preserve">day </t>
        </is>
      </c>
      <c r="B3037">
        <f>VLOOKUP(1102,Requirements!A2:B2967,2,FALSE)</f>
        <v/>
      </c>
    </row>
    <row r="3038">
      <c r="A3038" t="inlineStr">
        <is>
          <t xml:space="preserve">day </t>
        </is>
      </c>
      <c r="B3038">
        <f>VLOOKUP(1124,Requirements!A2:B2967,2,FALSE)</f>
        <v/>
      </c>
    </row>
    <row r="3039">
      <c r="A3039" t="inlineStr">
        <is>
          <t xml:space="preserve">day </t>
        </is>
      </c>
      <c r="B3039">
        <f>VLOOKUP(1195,Requirements!A2:B2967,2,FALSE)</f>
        <v/>
      </c>
    </row>
    <row r="3040">
      <c r="A3040" t="inlineStr">
        <is>
          <t xml:space="preserve">day </t>
        </is>
      </c>
      <c r="B3040">
        <f>VLOOKUP(1248,Requirements!A2:B2967,2,FALSE)</f>
        <v/>
      </c>
    </row>
    <row r="3041">
      <c r="A3041" t="inlineStr">
        <is>
          <t xml:space="preserve">day </t>
        </is>
      </c>
      <c r="B3041">
        <f>VLOOKUP(1253,Requirements!A2:B2967,2,FALSE)</f>
        <v/>
      </c>
    </row>
    <row r="3042">
      <c r="A3042" t="inlineStr">
        <is>
          <t xml:space="preserve">day </t>
        </is>
      </c>
      <c r="B3042">
        <f>VLOOKUP(1264,Requirements!A2:B2967,2,FALSE)</f>
        <v/>
      </c>
    </row>
    <row r="3043">
      <c r="A3043" t="inlineStr">
        <is>
          <t xml:space="preserve">day </t>
        </is>
      </c>
      <c r="B3043">
        <f>VLOOKUP(1266,Requirements!A2:B2967,2,FALSE)</f>
        <v/>
      </c>
    </row>
    <row r="3044">
      <c r="A3044" t="inlineStr">
        <is>
          <t xml:space="preserve">day </t>
        </is>
      </c>
      <c r="B3044">
        <f>VLOOKUP(1305,Requirements!A2:B2967,2,FALSE)</f>
        <v/>
      </c>
    </row>
    <row r="3045">
      <c r="A3045" t="inlineStr">
        <is>
          <t xml:space="preserve">day </t>
        </is>
      </c>
      <c r="B3045">
        <f>VLOOKUP(1317,Requirements!A2:B2967,2,FALSE)</f>
        <v/>
      </c>
    </row>
    <row r="3046">
      <c r="A3046" t="inlineStr">
        <is>
          <t xml:space="preserve">day </t>
        </is>
      </c>
      <c r="B3046">
        <f>VLOOKUP(1340,Requirements!A2:B2967,2,FALSE)</f>
        <v/>
      </c>
    </row>
    <row r="3047">
      <c r="A3047" t="inlineStr">
        <is>
          <t xml:space="preserve">day </t>
        </is>
      </c>
      <c r="B3047">
        <f>VLOOKUP(1424,Requirements!A2:B2967,2,FALSE)</f>
        <v/>
      </c>
    </row>
    <row r="3048">
      <c r="A3048" t="inlineStr">
        <is>
          <t xml:space="preserve">day </t>
        </is>
      </c>
      <c r="B3048">
        <f>VLOOKUP(1425,Requirements!A2:B2967,2,FALSE)</f>
        <v/>
      </c>
    </row>
    <row r="3049">
      <c r="A3049" t="inlineStr">
        <is>
          <t xml:space="preserve">day </t>
        </is>
      </c>
      <c r="B3049">
        <f>VLOOKUP(1431,Requirements!A2:B2967,2,FALSE)</f>
        <v/>
      </c>
    </row>
    <row r="3050">
      <c r="A3050" t="inlineStr">
        <is>
          <t xml:space="preserve">day </t>
        </is>
      </c>
      <c r="B3050">
        <f>VLOOKUP(1480,Requirements!A2:B2967,2,FALSE)</f>
        <v/>
      </c>
    </row>
    <row r="3051">
      <c r="A3051" t="inlineStr">
        <is>
          <t xml:space="preserve">day </t>
        </is>
      </c>
      <c r="B3051">
        <f>VLOOKUP(1484,Requirements!A2:B2967,2,FALSE)</f>
        <v/>
      </c>
    </row>
    <row r="3052">
      <c r="A3052" t="inlineStr">
        <is>
          <t xml:space="preserve">day </t>
        </is>
      </c>
      <c r="B3052">
        <f>VLOOKUP(1521,Requirements!A2:B2967,2,FALSE)</f>
        <v/>
      </c>
    </row>
    <row r="3053">
      <c r="A3053" t="inlineStr">
        <is>
          <t xml:space="preserve">day </t>
        </is>
      </c>
      <c r="B3053">
        <f>VLOOKUP(1653,Requirements!A2:B2967,2,FALSE)</f>
        <v/>
      </c>
    </row>
    <row r="3054">
      <c r="A3054" t="inlineStr">
        <is>
          <t xml:space="preserve">day </t>
        </is>
      </c>
      <c r="B3054">
        <f>VLOOKUP(1668,Requirements!A2:B2967,2,FALSE)</f>
        <v/>
      </c>
    </row>
    <row r="3055">
      <c r="A3055" t="inlineStr">
        <is>
          <t xml:space="preserve">day </t>
        </is>
      </c>
      <c r="B3055">
        <f>VLOOKUP(1694,Requirements!A2:B2967,2,FALSE)</f>
        <v/>
      </c>
    </row>
    <row r="3056">
      <c r="A3056" t="inlineStr">
        <is>
          <t xml:space="preserve">day </t>
        </is>
      </c>
      <c r="B3056">
        <f>VLOOKUP(1702,Requirements!A2:B2967,2,FALSE)</f>
        <v/>
      </c>
    </row>
    <row r="3057">
      <c r="A3057" t="inlineStr">
        <is>
          <t xml:space="preserve">day </t>
        </is>
      </c>
      <c r="B3057">
        <f>VLOOKUP(1768,Requirements!A2:B2967,2,FALSE)</f>
        <v/>
      </c>
    </row>
    <row r="3058">
      <c r="A3058" t="inlineStr">
        <is>
          <t xml:space="preserve">day </t>
        </is>
      </c>
      <c r="B3058">
        <f>VLOOKUP(1847,Requirements!A2:B2967,2,FALSE)</f>
        <v/>
      </c>
    </row>
    <row r="3059">
      <c r="A3059" t="inlineStr">
        <is>
          <t xml:space="preserve">day </t>
        </is>
      </c>
      <c r="B3059">
        <f>VLOOKUP(1848,Requirements!A2:B2967,2,FALSE)</f>
        <v/>
      </c>
    </row>
    <row r="3060">
      <c r="A3060" t="inlineStr">
        <is>
          <t xml:space="preserve">day </t>
        </is>
      </c>
      <c r="B3060">
        <f>VLOOKUP(1863,Requirements!A2:B2967,2,FALSE)</f>
        <v/>
      </c>
    </row>
    <row r="3061">
      <c r="A3061" t="inlineStr">
        <is>
          <t xml:space="preserve">day </t>
        </is>
      </c>
      <c r="B3061">
        <f>VLOOKUP(1908,Requirements!A2:B2967,2,FALSE)</f>
        <v/>
      </c>
    </row>
    <row r="3062">
      <c r="A3062" t="inlineStr">
        <is>
          <t xml:space="preserve">day </t>
        </is>
      </c>
      <c r="B3062">
        <f>VLOOKUP(1946,Requirements!A2:B2967,2,FALSE)</f>
        <v/>
      </c>
    </row>
    <row r="3063">
      <c r="A3063" t="inlineStr">
        <is>
          <t xml:space="preserve">day </t>
        </is>
      </c>
      <c r="B3063">
        <f>VLOOKUP(1982,Requirements!A2:B2967,2,FALSE)</f>
        <v/>
      </c>
    </row>
    <row r="3064">
      <c r="A3064" t="inlineStr">
        <is>
          <t xml:space="preserve">day </t>
        </is>
      </c>
      <c r="B3064">
        <f>VLOOKUP(2021,Requirements!A2:B2967,2,FALSE)</f>
        <v/>
      </c>
    </row>
    <row r="3065">
      <c r="A3065" t="inlineStr">
        <is>
          <t xml:space="preserve">day </t>
        </is>
      </c>
      <c r="B3065">
        <f>VLOOKUP(2033,Requirements!A2:B2967,2,FALSE)</f>
        <v/>
      </c>
    </row>
    <row r="3066">
      <c r="A3066" t="inlineStr">
        <is>
          <t xml:space="preserve">day </t>
        </is>
      </c>
      <c r="B3066">
        <f>VLOOKUP(2084,Requirements!A2:B2967,2,FALSE)</f>
        <v/>
      </c>
    </row>
    <row r="3067">
      <c r="A3067" t="inlineStr">
        <is>
          <t xml:space="preserve">day </t>
        </is>
      </c>
      <c r="B3067">
        <f>VLOOKUP(2106,Requirements!A2:B2967,2,FALSE)</f>
        <v/>
      </c>
    </row>
    <row r="3068">
      <c r="A3068" t="inlineStr">
        <is>
          <t xml:space="preserve">day </t>
        </is>
      </c>
      <c r="B3068">
        <f>VLOOKUP(2113,Requirements!A2:B2967,2,FALSE)</f>
        <v/>
      </c>
    </row>
    <row r="3069">
      <c r="A3069" t="inlineStr">
        <is>
          <t xml:space="preserve">day </t>
        </is>
      </c>
      <c r="B3069">
        <f>VLOOKUP(2190,Requirements!A2:B2967,2,FALSE)</f>
        <v/>
      </c>
    </row>
    <row r="3070">
      <c r="A3070" t="inlineStr">
        <is>
          <t xml:space="preserve">day </t>
        </is>
      </c>
      <c r="B3070">
        <f>VLOOKUP(2234,Requirements!A2:B2967,2,FALSE)</f>
        <v/>
      </c>
    </row>
    <row r="3071">
      <c r="A3071" t="inlineStr">
        <is>
          <t xml:space="preserve">day </t>
        </is>
      </c>
      <c r="B3071">
        <f>VLOOKUP(2344,Requirements!A2:B2967,2,FALSE)</f>
        <v/>
      </c>
    </row>
    <row r="3072">
      <c r="A3072" t="inlineStr">
        <is>
          <t xml:space="preserve">day </t>
        </is>
      </c>
      <c r="B3072">
        <f>VLOOKUP(2349,Requirements!A2:B2967,2,FALSE)</f>
        <v/>
      </c>
    </row>
    <row r="3073">
      <c r="A3073" t="inlineStr">
        <is>
          <t xml:space="preserve">day </t>
        </is>
      </c>
      <c r="B3073">
        <f>VLOOKUP(2369,Requirements!A2:B2967,2,FALSE)</f>
        <v/>
      </c>
    </row>
    <row r="3074">
      <c r="A3074" t="inlineStr">
        <is>
          <t xml:space="preserve">day </t>
        </is>
      </c>
      <c r="B3074">
        <f>VLOOKUP(2449,Requirements!A2:B2967,2,FALSE)</f>
        <v/>
      </c>
    </row>
    <row r="3075">
      <c r="A3075" t="inlineStr">
        <is>
          <t xml:space="preserve">day </t>
        </is>
      </c>
      <c r="B3075">
        <f>VLOOKUP(2593,Requirements!A2:B2967,2,FALSE)</f>
        <v/>
      </c>
    </row>
    <row r="3076">
      <c r="A3076" t="inlineStr">
        <is>
          <t xml:space="preserve">day </t>
        </is>
      </c>
      <c r="B3076">
        <f>VLOOKUP(2632,Requirements!A2:B2967,2,FALSE)</f>
        <v/>
      </c>
    </row>
    <row r="3077">
      <c r="A3077" t="inlineStr">
        <is>
          <t xml:space="preserve">day </t>
        </is>
      </c>
      <c r="B3077">
        <f>VLOOKUP(2665,Requirements!A2:B2967,2,FALSE)</f>
        <v/>
      </c>
    </row>
    <row r="3078">
      <c r="A3078" t="inlineStr">
        <is>
          <t xml:space="preserve">day </t>
        </is>
      </c>
      <c r="B3078">
        <f>VLOOKUP(2667,Requirements!A2:B2967,2,FALSE)</f>
        <v/>
      </c>
    </row>
    <row r="3079">
      <c r="A3079" t="inlineStr">
        <is>
          <t xml:space="preserve">day </t>
        </is>
      </c>
      <c r="B3079">
        <f>VLOOKUP(2711,Requirements!A2:B2967,2,FALSE)</f>
        <v/>
      </c>
    </row>
    <row r="3080">
      <c r="A3080" t="inlineStr">
        <is>
          <t xml:space="preserve">day </t>
        </is>
      </c>
      <c r="B3080">
        <f>VLOOKUP(2755,Requirements!A2:B2967,2,FALSE)</f>
        <v/>
      </c>
    </row>
    <row r="3081">
      <c r="A3081" t="inlineStr">
        <is>
          <t xml:space="preserve">day </t>
        </is>
      </c>
      <c r="B3081">
        <f>VLOOKUP(2796,Requirements!A2:B2967,2,FALSE)</f>
        <v/>
      </c>
    </row>
    <row r="3082">
      <c r="A3082" t="inlineStr">
        <is>
          <t xml:space="preserve">day </t>
        </is>
      </c>
      <c r="B3082">
        <f>VLOOKUP(2805,Requirements!A2:B2967,2,FALSE)</f>
        <v/>
      </c>
    </row>
    <row r="3083">
      <c r="A3083" t="inlineStr">
        <is>
          <t xml:space="preserve">day </t>
        </is>
      </c>
      <c r="B3083">
        <f>VLOOKUP(2840,Requirements!A2:B2967,2,FALSE)</f>
        <v/>
      </c>
    </row>
    <row r="3084">
      <c r="A3084" t="inlineStr">
        <is>
          <t xml:space="preserve">day </t>
        </is>
      </c>
      <c r="B3084">
        <f>VLOOKUP(2845,Requirements!A2:B2967,2,FALSE)</f>
        <v/>
      </c>
    </row>
    <row r="3085">
      <c r="A3085" t="inlineStr">
        <is>
          <t xml:space="preserve">day </t>
        </is>
      </c>
      <c r="B3085">
        <f>VLOOKUP(2850,Requirements!A2:B2967,2,FALSE)</f>
        <v/>
      </c>
    </row>
    <row r="3086">
      <c r="A3086" t="inlineStr">
        <is>
          <t xml:space="preserve">day </t>
        </is>
      </c>
      <c r="B3086">
        <f>VLOOKUP(2863,Requirements!A2:B2967,2,FALSE)</f>
        <v/>
      </c>
    </row>
    <row r="3087">
      <c r="A3087" t="inlineStr">
        <is>
          <t xml:space="preserve">day </t>
        </is>
      </c>
      <c r="B3087">
        <f>VLOOKUP(2898,Requirements!A2:B2967,2,FALSE)</f>
        <v/>
      </c>
    </row>
    <row r="3088">
      <c r="A3088" t="inlineStr">
        <is>
          <t xml:space="preserve">day </t>
        </is>
      </c>
      <c r="B3088">
        <f>VLOOKUP(2918,Requirements!A2:B2967,2,FALSE)</f>
        <v/>
      </c>
    </row>
    <row r="3089">
      <c r="A3089" t="inlineStr">
        <is>
          <t xml:space="preserve">day </t>
        </is>
      </c>
      <c r="B3089">
        <f>VLOOKUP(2925,Requirements!A2:B2967,2,FALSE)</f>
        <v/>
      </c>
    </row>
    <row r="3090">
      <c r="A3090" t="inlineStr">
        <is>
          <t xml:space="preserve">day </t>
        </is>
      </c>
      <c r="B3090">
        <f>VLOOKUP(2933,Requirements!A2:B2967,2,FALSE)</f>
        <v/>
      </c>
    </row>
    <row r="3091">
      <c r="A3091" t="inlineStr">
        <is>
          <t xml:space="preserve">day </t>
        </is>
      </c>
      <c r="B3091">
        <f>VLOOKUP(2954,Requirements!A2:B2967,2,FALSE)</f>
        <v/>
      </c>
    </row>
    <row r="3092">
      <c r="A3092" t="inlineStr">
        <is>
          <t xml:space="preserve">day </t>
        </is>
      </c>
      <c r="B3092">
        <f>VLOOKUP(2993,Requirements!A2:B2967,2,FALSE)</f>
        <v/>
      </c>
    </row>
    <row r="3093">
      <c r="A3093" t="inlineStr">
        <is>
          <t xml:space="preserve">day </t>
        </is>
      </c>
      <c r="B3093">
        <f>VLOOKUP(3217,Requirements!A2:B2967,2,FALSE)</f>
        <v/>
      </c>
    </row>
    <row r="3094">
      <c r="A3094" t="inlineStr">
        <is>
          <t xml:space="preserve">day </t>
        </is>
      </c>
      <c r="B3094">
        <f>VLOOKUP(3224,Requirements!A2:B2967,2,FALSE)</f>
        <v/>
      </c>
    </row>
    <row r="3095">
      <c r="A3095" t="inlineStr">
        <is>
          <t xml:space="preserve">day </t>
        </is>
      </c>
      <c r="B3095">
        <f>VLOOKUP(3248,Requirements!A2:B2967,2,FALSE)</f>
        <v/>
      </c>
    </row>
    <row r="3096">
      <c r="A3096" t="inlineStr">
        <is>
          <t xml:space="preserve">parent </t>
        </is>
      </c>
      <c r="B3096">
        <f>VLOOKUP(20,Requirements!A2:B2967,2,FALSE)</f>
        <v/>
      </c>
    </row>
    <row r="3097">
      <c r="A3097" t="inlineStr">
        <is>
          <t xml:space="preserve">parent </t>
        </is>
      </c>
      <c r="B3097">
        <f>VLOOKUP(21,Requirements!A2:B2967,2,FALSE)</f>
        <v/>
      </c>
    </row>
    <row r="3098">
      <c r="A3098" t="inlineStr">
        <is>
          <t xml:space="preserve">parent </t>
        </is>
      </c>
      <c r="B3098">
        <f>VLOOKUP(27,Requirements!A2:B2967,2,FALSE)</f>
        <v/>
      </c>
    </row>
    <row r="3099">
      <c r="A3099" t="inlineStr">
        <is>
          <t xml:space="preserve">parent </t>
        </is>
      </c>
      <c r="B3099">
        <f>VLOOKUP(38,Requirements!A2:B2967,2,FALSE)</f>
        <v/>
      </c>
    </row>
    <row r="3100">
      <c r="A3100" t="inlineStr">
        <is>
          <t xml:space="preserve">parent </t>
        </is>
      </c>
      <c r="B3100">
        <f>VLOOKUP(54,Requirements!A2:B2967,2,FALSE)</f>
        <v/>
      </c>
    </row>
    <row r="3101">
      <c r="A3101" t="inlineStr">
        <is>
          <t xml:space="preserve">parent </t>
        </is>
      </c>
      <c r="B3101">
        <f>VLOOKUP(76,Requirements!A2:B2967,2,FALSE)</f>
        <v/>
      </c>
    </row>
    <row r="3102">
      <c r="A3102" t="inlineStr">
        <is>
          <t xml:space="preserve">parent </t>
        </is>
      </c>
      <c r="B3102">
        <f>VLOOKUP(100,Requirements!A2:B2967,2,FALSE)</f>
        <v/>
      </c>
    </row>
    <row r="3103">
      <c r="A3103" t="inlineStr">
        <is>
          <t xml:space="preserve">parent </t>
        </is>
      </c>
      <c r="B3103">
        <f>VLOOKUP(106,Requirements!A2:B2967,2,FALSE)</f>
        <v/>
      </c>
    </row>
    <row r="3104">
      <c r="A3104" t="inlineStr">
        <is>
          <t xml:space="preserve">parent </t>
        </is>
      </c>
      <c r="B3104">
        <f>VLOOKUP(144,Requirements!A2:B2967,2,FALSE)</f>
        <v/>
      </c>
    </row>
    <row r="3105">
      <c r="A3105" t="inlineStr">
        <is>
          <t xml:space="preserve">parent </t>
        </is>
      </c>
      <c r="B3105">
        <f>VLOOKUP(146,Requirements!A2:B2967,2,FALSE)</f>
        <v/>
      </c>
    </row>
    <row r="3106">
      <c r="A3106" t="inlineStr">
        <is>
          <t xml:space="preserve">parent </t>
        </is>
      </c>
      <c r="B3106">
        <f>VLOOKUP(149,Requirements!A2:B2967,2,FALSE)</f>
        <v/>
      </c>
    </row>
    <row r="3107">
      <c r="A3107" t="inlineStr">
        <is>
          <t xml:space="preserve">parent </t>
        </is>
      </c>
      <c r="B3107">
        <f>VLOOKUP(157,Requirements!A2:B2967,2,FALSE)</f>
        <v/>
      </c>
    </row>
    <row r="3108">
      <c r="A3108" t="inlineStr">
        <is>
          <t xml:space="preserve">parent </t>
        </is>
      </c>
      <c r="B3108">
        <f>VLOOKUP(168,Requirements!A2:B2967,2,FALSE)</f>
        <v/>
      </c>
    </row>
    <row r="3109">
      <c r="A3109" t="inlineStr">
        <is>
          <t xml:space="preserve">parent </t>
        </is>
      </c>
      <c r="B3109">
        <f>VLOOKUP(175,Requirements!A2:B2967,2,FALSE)</f>
        <v/>
      </c>
    </row>
    <row r="3110">
      <c r="A3110" t="inlineStr">
        <is>
          <t xml:space="preserve">parent </t>
        </is>
      </c>
      <c r="B3110">
        <f>VLOOKUP(190,Requirements!A2:B2967,2,FALSE)</f>
        <v/>
      </c>
    </row>
    <row r="3111">
      <c r="A3111" t="inlineStr">
        <is>
          <t xml:space="preserve">parent </t>
        </is>
      </c>
      <c r="B3111">
        <f>VLOOKUP(192,Requirements!A2:B2967,2,FALSE)</f>
        <v/>
      </c>
    </row>
    <row r="3112">
      <c r="A3112" t="inlineStr">
        <is>
          <t xml:space="preserve">parent </t>
        </is>
      </c>
      <c r="B3112">
        <f>VLOOKUP(205,Requirements!A2:B2967,2,FALSE)</f>
        <v/>
      </c>
    </row>
    <row r="3113">
      <c r="A3113" t="inlineStr">
        <is>
          <t xml:space="preserve">parent </t>
        </is>
      </c>
      <c r="B3113">
        <f>VLOOKUP(210,Requirements!A2:B2967,2,FALSE)</f>
        <v/>
      </c>
    </row>
    <row r="3114">
      <c r="A3114" t="inlineStr">
        <is>
          <t xml:space="preserve">parent </t>
        </is>
      </c>
      <c r="B3114">
        <f>VLOOKUP(211,Requirements!A2:B2967,2,FALSE)</f>
        <v/>
      </c>
    </row>
    <row r="3115">
      <c r="A3115" t="inlineStr">
        <is>
          <t xml:space="preserve">parent </t>
        </is>
      </c>
      <c r="B3115">
        <f>VLOOKUP(221,Requirements!A2:B2967,2,FALSE)</f>
        <v/>
      </c>
    </row>
    <row r="3116">
      <c r="A3116" t="inlineStr">
        <is>
          <t xml:space="preserve">parent </t>
        </is>
      </c>
      <c r="B3116">
        <f>VLOOKUP(228,Requirements!A2:B2967,2,FALSE)</f>
        <v/>
      </c>
    </row>
    <row r="3117">
      <c r="A3117" t="inlineStr">
        <is>
          <t xml:space="preserve">parent </t>
        </is>
      </c>
      <c r="B3117">
        <f>VLOOKUP(231,Requirements!A2:B2967,2,FALSE)</f>
        <v/>
      </c>
    </row>
    <row r="3118">
      <c r="A3118" t="inlineStr">
        <is>
          <t xml:space="preserve">parent </t>
        </is>
      </c>
      <c r="B3118">
        <f>VLOOKUP(237,Requirements!A2:B2967,2,FALSE)</f>
        <v/>
      </c>
    </row>
    <row r="3119">
      <c r="A3119" t="inlineStr">
        <is>
          <t xml:space="preserve">parent </t>
        </is>
      </c>
      <c r="B3119">
        <f>VLOOKUP(239,Requirements!A2:B2967,2,FALSE)</f>
        <v/>
      </c>
    </row>
    <row r="3120">
      <c r="A3120" t="inlineStr">
        <is>
          <t xml:space="preserve">parent </t>
        </is>
      </c>
      <c r="B3120">
        <f>VLOOKUP(240,Requirements!A2:B2967,2,FALSE)</f>
        <v/>
      </c>
    </row>
    <row r="3121">
      <c r="A3121" t="inlineStr">
        <is>
          <t xml:space="preserve">parent </t>
        </is>
      </c>
      <c r="B3121">
        <f>VLOOKUP(282,Requirements!A2:B2967,2,FALSE)</f>
        <v/>
      </c>
    </row>
    <row r="3122">
      <c r="A3122" t="inlineStr">
        <is>
          <t xml:space="preserve">parent </t>
        </is>
      </c>
      <c r="B3122">
        <f>VLOOKUP(292,Requirements!A2:B2967,2,FALSE)</f>
        <v/>
      </c>
    </row>
    <row r="3123">
      <c r="A3123" t="inlineStr">
        <is>
          <t xml:space="preserve">parent </t>
        </is>
      </c>
      <c r="B3123">
        <f>VLOOKUP(293,Requirements!A2:B2967,2,FALSE)</f>
        <v/>
      </c>
    </row>
    <row r="3124">
      <c r="A3124" t="inlineStr">
        <is>
          <t xml:space="preserve">parent </t>
        </is>
      </c>
      <c r="B3124">
        <f>VLOOKUP(302,Requirements!A2:B2967,2,FALSE)</f>
        <v/>
      </c>
    </row>
    <row r="3125">
      <c r="A3125" t="inlineStr">
        <is>
          <t xml:space="preserve">parent </t>
        </is>
      </c>
      <c r="B3125">
        <f>VLOOKUP(303,Requirements!A2:B2967,2,FALSE)</f>
        <v/>
      </c>
    </row>
    <row r="3126">
      <c r="A3126" t="inlineStr">
        <is>
          <t xml:space="preserve">parent </t>
        </is>
      </c>
      <c r="B3126">
        <f>VLOOKUP(310,Requirements!A2:B2967,2,FALSE)</f>
        <v/>
      </c>
    </row>
    <row r="3127">
      <c r="A3127" t="inlineStr">
        <is>
          <t xml:space="preserve">parent </t>
        </is>
      </c>
      <c r="B3127">
        <f>VLOOKUP(318,Requirements!A2:B2967,2,FALSE)</f>
        <v/>
      </c>
    </row>
    <row r="3128">
      <c r="A3128" t="inlineStr">
        <is>
          <t xml:space="preserve">parent </t>
        </is>
      </c>
      <c r="B3128">
        <f>VLOOKUP(323,Requirements!A2:B2967,2,FALSE)</f>
        <v/>
      </c>
    </row>
    <row r="3129">
      <c r="A3129" t="inlineStr">
        <is>
          <t xml:space="preserve">parent </t>
        </is>
      </c>
      <c r="B3129">
        <f>VLOOKUP(344,Requirements!A2:B2967,2,FALSE)</f>
        <v/>
      </c>
    </row>
    <row r="3130">
      <c r="A3130" t="inlineStr">
        <is>
          <t xml:space="preserve">parent </t>
        </is>
      </c>
      <c r="B3130">
        <f>VLOOKUP(363,Requirements!A2:B2967,2,FALSE)</f>
        <v/>
      </c>
    </row>
    <row r="3131">
      <c r="A3131" t="inlineStr">
        <is>
          <t xml:space="preserve">parent </t>
        </is>
      </c>
      <c r="B3131">
        <f>VLOOKUP(368,Requirements!A2:B2967,2,FALSE)</f>
        <v/>
      </c>
    </row>
    <row r="3132">
      <c r="A3132" t="inlineStr">
        <is>
          <t xml:space="preserve">parent </t>
        </is>
      </c>
      <c r="B3132">
        <f>VLOOKUP(389,Requirements!A2:B2967,2,FALSE)</f>
        <v/>
      </c>
    </row>
    <row r="3133">
      <c r="A3133" t="inlineStr">
        <is>
          <t xml:space="preserve">parent </t>
        </is>
      </c>
      <c r="B3133">
        <f>VLOOKUP(427,Requirements!A2:B2967,2,FALSE)</f>
        <v/>
      </c>
    </row>
    <row r="3134">
      <c r="A3134" t="inlineStr">
        <is>
          <t xml:space="preserve">parent </t>
        </is>
      </c>
      <c r="B3134">
        <f>VLOOKUP(435,Requirements!A2:B2967,2,FALSE)</f>
        <v/>
      </c>
    </row>
    <row r="3135">
      <c r="A3135" t="inlineStr">
        <is>
          <t xml:space="preserve">parent </t>
        </is>
      </c>
      <c r="B3135">
        <f>VLOOKUP(438,Requirements!A2:B2967,2,FALSE)</f>
        <v/>
      </c>
    </row>
    <row r="3136">
      <c r="A3136" t="inlineStr">
        <is>
          <t xml:space="preserve">parent </t>
        </is>
      </c>
      <c r="B3136">
        <f>VLOOKUP(444,Requirements!A2:B2967,2,FALSE)</f>
        <v/>
      </c>
    </row>
    <row r="3137">
      <c r="A3137" t="inlineStr">
        <is>
          <t xml:space="preserve">parent </t>
        </is>
      </c>
      <c r="B3137">
        <f>VLOOKUP(470,Requirements!A2:B2967,2,FALSE)</f>
        <v/>
      </c>
    </row>
    <row r="3138">
      <c r="A3138" t="inlineStr">
        <is>
          <t xml:space="preserve">parent </t>
        </is>
      </c>
      <c r="B3138">
        <f>VLOOKUP(488,Requirements!A2:B2967,2,FALSE)</f>
        <v/>
      </c>
    </row>
    <row r="3139">
      <c r="A3139" t="inlineStr">
        <is>
          <t xml:space="preserve">parent </t>
        </is>
      </c>
      <c r="B3139">
        <f>VLOOKUP(502,Requirements!A2:B2967,2,FALSE)</f>
        <v/>
      </c>
    </row>
    <row r="3140">
      <c r="A3140" t="inlineStr">
        <is>
          <t xml:space="preserve">parent </t>
        </is>
      </c>
      <c r="B3140">
        <f>VLOOKUP(504,Requirements!A2:B2967,2,FALSE)</f>
        <v/>
      </c>
    </row>
    <row r="3141">
      <c r="A3141" t="inlineStr">
        <is>
          <t xml:space="preserve">parent </t>
        </is>
      </c>
      <c r="B3141">
        <f>VLOOKUP(516,Requirements!A2:B2967,2,FALSE)</f>
        <v/>
      </c>
    </row>
    <row r="3142">
      <c r="A3142" t="inlineStr">
        <is>
          <t xml:space="preserve">parent </t>
        </is>
      </c>
      <c r="B3142">
        <f>VLOOKUP(534,Requirements!A2:B2967,2,FALSE)</f>
        <v/>
      </c>
    </row>
    <row r="3143">
      <c r="A3143" t="inlineStr">
        <is>
          <t xml:space="preserve">parent </t>
        </is>
      </c>
      <c r="B3143">
        <f>VLOOKUP(539,Requirements!A2:B2967,2,FALSE)</f>
        <v/>
      </c>
    </row>
    <row r="3144">
      <c r="A3144" t="inlineStr">
        <is>
          <t xml:space="preserve">parent </t>
        </is>
      </c>
      <c r="B3144">
        <f>VLOOKUP(606,Requirements!A2:B2967,2,FALSE)</f>
        <v/>
      </c>
    </row>
    <row r="3145">
      <c r="A3145" t="inlineStr">
        <is>
          <t xml:space="preserve">parent </t>
        </is>
      </c>
      <c r="B3145">
        <f>VLOOKUP(609,Requirements!A2:B2967,2,FALSE)</f>
        <v/>
      </c>
    </row>
    <row r="3146">
      <c r="A3146" t="inlineStr">
        <is>
          <t xml:space="preserve">parent </t>
        </is>
      </c>
      <c r="B3146">
        <f>VLOOKUP(612,Requirements!A2:B2967,2,FALSE)</f>
        <v/>
      </c>
    </row>
    <row r="3147">
      <c r="A3147" t="inlineStr">
        <is>
          <t xml:space="preserve">parent </t>
        </is>
      </c>
      <c r="B3147">
        <f>VLOOKUP(623,Requirements!A2:B2967,2,FALSE)</f>
        <v/>
      </c>
    </row>
    <row r="3148">
      <c r="A3148" t="inlineStr">
        <is>
          <t xml:space="preserve">parent </t>
        </is>
      </c>
      <c r="B3148">
        <f>VLOOKUP(628,Requirements!A2:B2967,2,FALSE)</f>
        <v/>
      </c>
    </row>
    <row r="3149">
      <c r="A3149" t="inlineStr">
        <is>
          <t xml:space="preserve">parent </t>
        </is>
      </c>
      <c r="B3149">
        <f>VLOOKUP(632,Requirements!A2:B2967,2,FALSE)</f>
        <v/>
      </c>
    </row>
    <row r="3150">
      <c r="A3150" t="inlineStr">
        <is>
          <t xml:space="preserve">parent </t>
        </is>
      </c>
      <c r="B3150">
        <f>VLOOKUP(637,Requirements!A2:B2967,2,FALSE)</f>
        <v/>
      </c>
    </row>
    <row r="3151">
      <c r="A3151" t="inlineStr">
        <is>
          <t xml:space="preserve">parent </t>
        </is>
      </c>
      <c r="B3151">
        <f>VLOOKUP(646,Requirements!A2:B2967,2,FALSE)</f>
        <v/>
      </c>
    </row>
    <row r="3152">
      <c r="A3152" t="inlineStr">
        <is>
          <t xml:space="preserve">parent </t>
        </is>
      </c>
      <c r="B3152">
        <f>VLOOKUP(654,Requirements!A2:B2967,2,FALSE)</f>
        <v/>
      </c>
    </row>
    <row r="3153">
      <c r="A3153" t="inlineStr">
        <is>
          <t xml:space="preserve">parent </t>
        </is>
      </c>
      <c r="B3153">
        <f>VLOOKUP(674,Requirements!A2:B2967,2,FALSE)</f>
        <v/>
      </c>
    </row>
    <row r="3154">
      <c r="A3154" t="inlineStr">
        <is>
          <t xml:space="preserve">parent </t>
        </is>
      </c>
      <c r="B3154">
        <f>VLOOKUP(676,Requirements!A2:B2967,2,FALSE)</f>
        <v/>
      </c>
    </row>
    <row r="3155">
      <c r="A3155" t="inlineStr">
        <is>
          <t xml:space="preserve">parent </t>
        </is>
      </c>
      <c r="B3155">
        <f>VLOOKUP(682,Requirements!A2:B2967,2,FALSE)</f>
        <v/>
      </c>
    </row>
    <row r="3156">
      <c r="A3156" t="inlineStr">
        <is>
          <t xml:space="preserve">parent </t>
        </is>
      </c>
      <c r="B3156">
        <f>VLOOKUP(689,Requirements!A2:B2967,2,FALSE)</f>
        <v/>
      </c>
    </row>
    <row r="3157">
      <c r="A3157" t="inlineStr">
        <is>
          <t xml:space="preserve">parent </t>
        </is>
      </c>
      <c r="B3157">
        <f>VLOOKUP(696,Requirements!A2:B2967,2,FALSE)</f>
        <v/>
      </c>
    </row>
    <row r="3158">
      <c r="A3158" t="inlineStr">
        <is>
          <t xml:space="preserve">parent </t>
        </is>
      </c>
      <c r="B3158">
        <f>VLOOKUP(704,Requirements!A2:B2967,2,FALSE)</f>
        <v/>
      </c>
    </row>
    <row r="3159">
      <c r="A3159" t="inlineStr">
        <is>
          <t xml:space="preserve">parent </t>
        </is>
      </c>
      <c r="B3159">
        <f>VLOOKUP(724,Requirements!A2:B2967,2,FALSE)</f>
        <v/>
      </c>
    </row>
    <row r="3160">
      <c r="A3160" t="inlineStr">
        <is>
          <t xml:space="preserve">parent </t>
        </is>
      </c>
      <c r="B3160">
        <f>VLOOKUP(737,Requirements!A2:B2967,2,FALSE)</f>
        <v/>
      </c>
    </row>
    <row r="3161">
      <c r="A3161" t="inlineStr">
        <is>
          <t xml:space="preserve">parent </t>
        </is>
      </c>
      <c r="B3161">
        <f>VLOOKUP(741,Requirements!A2:B2967,2,FALSE)</f>
        <v/>
      </c>
    </row>
    <row r="3162">
      <c r="A3162" t="inlineStr">
        <is>
          <t xml:space="preserve">parent </t>
        </is>
      </c>
      <c r="B3162">
        <f>VLOOKUP(770,Requirements!A2:B2967,2,FALSE)</f>
        <v/>
      </c>
    </row>
    <row r="3163">
      <c r="A3163" t="inlineStr">
        <is>
          <t xml:space="preserve">parent </t>
        </is>
      </c>
      <c r="B3163">
        <f>VLOOKUP(796,Requirements!A2:B2967,2,FALSE)</f>
        <v/>
      </c>
    </row>
    <row r="3164">
      <c r="A3164" t="inlineStr">
        <is>
          <t xml:space="preserve">parent </t>
        </is>
      </c>
      <c r="B3164">
        <f>VLOOKUP(801,Requirements!A2:B2967,2,FALSE)</f>
        <v/>
      </c>
    </row>
    <row r="3165">
      <c r="A3165" t="inlineStr">
        <is>
          <t xml:space="preserve">parent </t>
        </is>
      </c>
      <c r="B3165">
        <f>VLOOKUP(826,Requirements!A2:B2967,2,FALSE)</f>
        <v/>
      </c>
    </row>
    <row r="3166">
      <c r="A3166" t="inlineStr">
        <is>
          <t xml:space="preserve">parent </t>
        </is>
      </c>
      <c r="B3166">
        <f>VLOOKUP(861,Requirements!A2:B2967,2,FALSE)</f>
        <v/>
      </c>
    </row>
    <row r="3167">
      <c r="A3167" t="inlineStr">
        <is>
          <t xml:space="preserve">parent </t>
        </is>
      </c>
      <c r="B3167">
        <f>VLOOKUP(869,Requirements!A2:B2967,2,FALSE)</f>
        <v/>
      </c>
    </row>
    <row r="3168">
      <c r="A3168" t="inlineStr">
        <is>
          <t xml:space="preserve">parent </t>
        </is>
      </c>
      <c r="B3168">
        <f>VLOOKUP(872,Requirements!A2:B2967,2,FALSE)</f>
        <v/>
      </c>
    </row>
    <row r="3169">
      <c r="A3169" t="inlineStr">
        <is>
          <t xml:space="preserve">parent </t>
        </is>
      </c>
      <c r="B3169">
        <f>VLOOKUP(881,Requirements!A2:B2967,2,FALSE)</f>
        <v/>
      </c>
    </row>
    <row r="3170">
      <c r="A3170" t="inlineStr">
        <is>
          <t xml:space="preserve">parent </t>
        </is>
      </c>
      <c r="B3170">
        <f>VLOOKUP(901,Requirements!A2:B2967,2,FALSE)</f>
        <v/>
      </c>
    </row>
    <row r="3171">
      <c r="A3171" t="inlineStr">
        <is>
          <t xml:space="preserve">parent </t>
        </is>
      </c>
      <c r="B3171">
        <f>VLOOKUP(907,Requirements!A2:B2967,2,FALSE)</f>
        <v/>
      </c>
    </row>
    <row r="3172">
      <c r="A3172" t="inlineStr">
        <is>
          <t xml:space="preserve">parent </t>
        </is>
      </c>
      <c r="B3172">
        <f>VLOOKUP(917,Requirements!A2:B2967,2,FALSE)</f>
        <v/>
      </c>
    </row>
    <row r="3173">
      <c r="A3173" t="inlineStr">
        <is>
          <t xml:space="preserve">parent </t>
        </is>
      </c>
      <c r="B3173">
        <f>VLOOKUP(921,Requirements!A2:B2967,2,FALSE)</f>
        <v/>
      </c>
    </row>
    <row r="3174">
      <c r="A3174" t="inlineStr">
        <is>
          <t xml:space="preserve">parent </t>
        </is>
      </c>
      <c r="B3174">
        <f>VLOOKUP(957,Requirements!A2:B2967,2,FALSE)</f>
        <v/>
      </c>
    </row>
    <row r="3175">
      <c r="A3175" t="inlineStr">
        <is>
          <t xml:space="preserve">parent </t>
        </is>
      </c>
      <c r="B3175">
        <f>VLOOKUP(963,Requirements!A2:B2967,2,FALSE)</f>
        <v/>
      </c>
    </row>
    <row r="3176">
      <c r="A3176" t="inlineStr">
        <is>
          <t xml:space="preserve">parent </t>
        </is>
      </c>
      <c r="B3176">
        <f>VLOOKUP(971,Requirements!A2:B2967,2,FALSE)</f>
        <v/>
      </c>
    </row>
    <row r="3177">
      <c r="A3177" t="inlineStr">
        <is>
          <t xml:space="preserve">parent </t>
        </is>
      </c>
      <c r="B3177">
        <f>VLOOKUP(994,Requirements!A2:B2967,2,FALSE)</f>
        <v/>
      </c>
    </row>
    <row r="3178">
      <c r="A3178" t="inlineStr">
        <is>
          <t xml:space="preserve">parent </t>
        </is>
      </c>
      <c r="B3178">
        <f>VLOOKUP(998,Requirements!A2:B2967,2,FALSE)</f>
        <v/>
      </c>
    </row>
    <row r="3179">
      <c r="A3179" t="inlineStr">
        <is>
          <t xml:space="preserve">parent </t>
        </is>
      </c>
      <c r="B3179">
        <f>VLOOKUP(1026,Requirements!A2:B2967,2,FALSE)</f>
        <v/>
      </c>
    </row>
    <row r="3180">
      <c r="A3180" t="inlineStr">
        <is>
          <t xml:space="preserve">parent </t>
        </is>
      </c>
      <c r="B3180">
        <f>VLOOKUP(1027,Requirements!A2:B2967,2,FALSE)</f>
        <v/>
      </c>
    </row>
    <row r="3181">
      <c r="A3181" t="inlineStr">
        <is>
          <t xml:space="preserve">parent </t>
        </is>
      </c>
      <c r="B3181">
        <f>VLOOKUP(1052,Requirements!A2:B2967,2,FALSE)</f>
        <v/>
      </c>
    </row>
    <row r="3182">
      <c r="A3182" t="inlineStr">
        <is>
          <t xml:space="preserve">parent </t>
        </is>
      </c>
      <c r="B3182">
        <f>VLOOKUP(1080,Requirements!A2:B2967,2,FALSE)</f>
        <v/>
      </c>
    </row>
    <row r="3183">
      <c r="A3183" t="inlineStr">
        <is>
          <t xml:space="preserve">parent </t>
        </is>
      </c>
      <c r="B3183">
        <f>VLOOKUP(1081,Requirements!A2:B2967,2,FALSE)</f>
        <v/>
      </c>
    </row>
    <row r="3184">
      <c r="A3184" t="inlineStr">
        <is>
          <t xml:space="preserve">parent </t>
        </is>
      </c>
      <c r="B3184">
        <f>VLOOKUP(1127,Requirements!A2:B2967,2,FALSE)</f>
        <v/>
      </c>
    </row>
    <row r="3185">
      <c r="A3185" t="inlineStr">
        <is>
          <t xml:space="preserve">parent </t>
        </is>
      </c>
      <c r="B3185">
        <f>VLOOKUP(1129,Requirements!A2:B2967,2,FALSE)</f>
        <v/>
      </c>
    </row>
    <row r="3186">
      <c r="A3186" t="inlineStr">
        <is>
          <t xml:space="preserve">parent </t>
        </is>
      </c>
      <c r="B3186">
        <f>VLOOKUP(1132,Requirements!A2:B2967,2,FALSE)</f>
        <v/>
      </c>
    </row>
    <row r="3187">
      <c r="A3187" t="inlineStr">
        <is>
          <t xml:space="preserve">parent </t>
        </is>
      </c>
      <c r="B3187">
        <f>VLOOKUP(1137,Requirements!A2:B2967,2,FALSE)</f>
        <v/>
      </c>
    </row>
    <row r="3188">
      <c r="A3188" t="inlineStr">
        <is>
          <t xml:space="preserve">parent </t>
        </is>
      </c>
      <c r="B3188">
        <f>VLOOKUP(1138,Requirements!A2:B2967,2,FALSE)</f>
        <v/>
      </c>
    </row>
    <row r="3189">
      <c r="A3189" t="inlineStr">
        <is>
          <t xml:space="preserve">parent </t>
        </is>
      </c>
      <c r="B3189">
        <f>VLOOKUP(1139,Requirements!A2:B2967,2,FALSE)</f>
        <v/>
      </c>
    </row>
    <row r="3190">
      <c r="A3190" t="inlineStr">
        <is>
          <t xml:space="preserve">parent </t>
        </is>
      </c>
      <c r="B3190">
        <f>VLOOKUP(1140,Requirements!A2:B2967,2,FALSE)</f>
        <v/>
      </c>
    </row>
    <row r="3191">
      <c r="A3191" t="inlineStr">
        <is>
          <t xml:space="preserve">parent </t>
        </is>
      </c>
      <c r="B3191">
        <f>VLOOKUP(1141,Requirements!A2:B2967,2,FALSE)</f>
        <v/>
      </c>
    </row>
    <row r="3192">
      <c r="A3192" t="inlineStr">
        <is>
          <t xml:space="preserve">parent </t>
        </is>
      </c>
      <c r="B3192">
        <f>VLOOKUP(1142,Requirements!A2:B2967,2,FALSE)</f>
        <v/>
      </c>
    </row>
    <row r="3193">
      <c r="A3193" t="inlineStr">
        <is>
          <t xml:space="preserve">parent </t>
        </is>
      </c>
      <c r="B3193">
        <f>VLOOKUP(1143,Requirements!A2:B2967,2,FALSE)</f>
        <v/>
      </c>
    </row>
    <row r="3194">
      <c r="A3194" t="inlineStr">
        <is>
          <t xml:space="preserve">parent </t>
        </is>
      </c>
      <c r="B3194">
        <f>VLOOKUP(1144,Requirements!A2:B2967,2,FALSE)</f>
        <v/>
      </c>
    </row>
    <row r="3195">
      <c r="A3195" t="inlineStr">
        <is>
          <t xml:space="preserve">parent </t>
        </is>
      </c>
      <c r="B3195">
        <f>VLOOKUP(1146,Requirements!A2:B2967,2,FALSE)</f>
        <v/>
      </c>
    </row>
    <row r="3196">
      <c r="A3196" t="inlineStr">
        <is>
          <t xml:space="preserve">parent </t>
        </is>
      </c>
      <c r="B3196">
        <f>VLOOKUP(1150,Requirements!A2:B2967,2,FALSE)</f>
        <v/>
      </c>
    </row>
    <row r="3197">
      <c r="A3197" t="inlineStr">
        <is>
          <t xml:space="preserve">parent </t>
        </is>
      </c>
      <c r="B3197">
        <f>VLOOKUP(1152,Requirements!A2:B2967,2,FALSE)</f>
        <v/>
      </c>
    </row>
    <row r="3198">
      <c r="A3198" t="inlineStr">
        <is>
          <t xml:space="preserve">parent </t>
        </is>
      </c>
      <c r="B3198">
        <f>VLOOKUP(1175,Requirements!A2:B2967,2,FALSE)</f>
        <v/>
      </c>
    </row>
    <row r="3199">
      <c r="A3199" t="inlineStr">
        <is>
          <t xml:space="preserve">parent </t>
        </is>
      </c>
      <c r="B3199">
        <f>VLOOKUP(1189,Requirements!A2:B2967,2,FALSE)</f>
        <v/>
      </c>
    </row>
    <row r="3200">
      <c r="A3200" t="inlineStr">
        <is>
          <t xml:space="preserve">parent </t>
        </is>
      </c>
      <c r="B3200">
        <f>VLOOKUP(1196,Requirements!A2:B2967,2,FALSE)</f>
        <v/>
      </c>
    </row>
    <row r="3201">
      <c r="A3201" t="inlineStr">
        <is>
          <t xml:space="preserve">parent </t>
        </is>
      </c>
      <c r="B3201">
        <f>VLOOKUP(1199,Requirements!A2:B2967,2,FALSE)</f>
        <v/>
      </c>
    </row>
    <row r="3202">
      <c r="A3202" t="inlineStr">
        <is>
          <t xml:space="preserve">parent </t>
        </is>
      </c>
      <c r="B3202">
        <f>VLOOKUP(1201,Requirements!A2:B2967,2,FALSE)</f>
        <v/>
      </c>
    </row>
    <row r="3203">
      <c r="A3203" t="inlineStr">
        <is>
          <t xml:space="preserve">parent </t>
        </is>
      </c>
      <c r="B3203">
        <f>VLOOKUP(1202,Requirements!A2:B2967,2,FALSE)</f>
        <v/>
      </c>
    </row>
    <row r="3204">
      <c r="A3204" t="inlineStr">
        <is>
          <t xml:space="preserve">parent </t>
        </is>
      </c>
      <c r="B3204">
        <f>VLOOKUP(1203,Requirements!A2:B2967,2,FALSE)</f>
        <v/>
      </c>
    </row>
    <row r="3205">
      <c r="A3205" t="inlineStr">
        <is>
          <t xml:space="preserve">parent </t>
        </is>
      </c>
      <c r="B3205">
        <f>VLOOKUP(1204,Requirements!A2:B2967,2,FALSE)</f>
        <v/>
      </c>
    </row>
    <row r="3206">
      <c r="A3206" t="inlineStr">
        <is>
          <t xml:space="preserve">parent </t>
        </is>
      </c>
      <c r="B3206">
        <f>VLOOKUP(1208,Requirements!A2:B2967,2,FALSE)</f>
        <v/>
      </c>
    </row>
    <row r="3207">
      <c r="A3207" t="inlineStr">
        <is>
          <t xml:space="preserve">parent </t>
        </is>
      </c>
      <c r="B3207">
        <f>VLOOKUP(1220,Requirements!A2:B2967,2,FALSE)</f>
        <v/>
      </c>
    </row>
    <row r="3208">
      <c r="A3208" t="inlineStr">
        <is>
          <t xml:space="preserve">parent </t>
        </is>
      </c>
      <c r="B3208">
        <f>VLOOKUP(1226,Requirements!A2:B2967,2,FALSE)</f>
        <v/>
      </c>
    </row>
    <row r="3209">
      <c r="A3209" t="inlineStr">
        <is>
          <t xml:space="preserve">parent </t>
        </is>
      </c>
      <c r="B3209">
        <f>VLOOKUP(1237,Requirements!A2:B2967,2,FALSE)</f>
        <v/>
      </c>
    </row>
    <row r="3210">
      <c r="A3210" t="inlineStr">
        <is>
          <t xml:space="preserve">parent </t>
        </is>
      </c>
      <c r="B3210">
        <f>VLOOKUP(1260,Requirements!A2:B2967,2,FALSE)</f>
        <v/>
      </c>
    </row>
    <row r="3211">
      <c r="A3211" t="inlineStr">
        <is>
          <t xml:space="preserve">parent </t>
        </is>
      </c>
      <c r="B3211">
        <f>VLOOKUP(1263,Requirements!A2:B2967,2,FALSE)</f>
        <v/>
      </c>
    </row>
    <row r="3212">
      <c r="A3212" t="inlineStr">
        <is>
          <t xml:space="preserve">parent </t>
        </is>
      </c>
      <c r="B3212">
        <f>VLOOKUP(1270,Requirements!A2:B2967,2,FALSE)</f>
        <v/>
      </c>
    </row>
    <row r="3213">
      <c r="A3213" t="inlineStr">
        <is>
          <t xml:space="preserve">parent </t>
        </is>
      </c>
      <c r="B3213">
        <f>VLOOKUP(1276,Requirements!A2:B2967,2,FALSE)</f>
        <v/>
      </c>
    </row>
    <row r="3214">
      <c r="A3214" t="inlineStr">
        <is>
          <t xml:space="preserve">parent </t>
        </is>
      </c>
      <c r="B3214">
        <f>VLOOKUP(1279,Requirements!A2:B2967,2,FALSE)</f>
        <v/>
      </c>
    </row>
    <row r="3215">
      <c r="A3215" t="inlineStr">
        <is>
          <t xml:space="preserve">parent </t>
        </is>
      </c>
      <c r="B3215">
        <f>VLOOKUP(1320,Requirements!A2:B2967,2,FALSE)</f>
        <v/>
      </c>
    </row>
    <row r="3216">
      <c r="A3216" t="inlineStr">
        <is>
          <t xml:space="preserve">parent </t>
        </is>
      </c>
      <c r="B3216">
        <f>VLOOKUP(1341,Requirements!A2:B2967,2,FALSE)</f>
        <v/>
      </c>
    </row>
    <row r="3217">
      <c r="A3217" t="inlineStr">
        <is>
          <t xml:space="preserve">parent </t>
        </is>
      </c>
      <c r="B3217">
        <f>VLOOKUP(1356,Requirements!A2:B2967,2,FALSE)</f>
        <v/>
      </c>
    </row>
    <row r="3218">
      <c r="A3218" t="inlineStr">
        <is>
          <t xml:space="preserve">parent </t>
        </is>
      </c>
      <c r="B3218">
        <f>VLOOKUP(1361,Requirements!A2:B2967,2,FALSE)</f>
        <v/>
      </c>
    </row>
    <row r="3219">
      <c r="A3219" t="inlineStr">
        <is>
          <t xml:space="preserve">parent </t>
        </is>
      </c>
      <c r="B3219">
        <f>VLOOKUP(1365,Requirements!A2:B2967,2,FALSE)</f>
        <v/>
      </c>
    </row>
    <row r="3220">
      <c r="A3220" t="inlineStr">
        <is>
          <t xml:space="preserve">parent </t>
        </is>
      </c>
      <c r="B3220">
        <f>VLOOKUP(1366,Requirements!A2:B2967,2,FALSE)</f>
        <v/>
      </c>
    </row>
    <row r="3221">
      <c r="A3221" t="inlineStr">
        <is>
          <t xml:space="preserve">parent </t>
        </is>
      </c>
      <c r="B3221">
        <f>VLOOKUP(1375,Requirements!A2:B2967,2,FALSE)</f>
        <v/>
      </c>
    </row>
    <row r="3222">
      <c r="A3222" t="inlineStr">
        <is>
          <t xml:space="preserve">parent </t>
        </is>
      </c>
      <c r="B3222">
        <f>VLOOKUP(1377,Requirements!A2:B2967,2,FALSE)</f>
        <v/>
      </c>
    </row>
    <row r="3223">
      <c r="A3223" t="inlineStr">
        <is>
          <t xml:space="preserve">parent </t>
        </is>
      </c>
      <c r="B3223">
        <f>VLOOKUP(1389,Requirements!A2:B2967,2,FALSE)</f>
        <v/>
      </c>
    </row>
    <row r="3224">
      <c r="A3224" t="inlineStr">
        <is>
          <t xml:space="preserve">parent </t>
        </is>
      </c>
      <c r="B3224">
        <f>VLOOKUP(1402,Requirements!A2:B2967,2,FALSE)</f>
        <v/>
      </c>
    </row>
    <row r="3225">
      <c r="A3225" t="inlineStr">
        <is>
          <t xml:space="preserve">parent </t>
        </is>
      </c>
      <c r="B3225">
        <f>VLOOKUP(1404,Requirements!A2:B2967,2,FALSE)</f>
        <v/>
      </c>
    </row>
    <row r="3226">
      <c r="A3226" t="inlineStr">
        <is>
          <t xml:space="preserve">parent </t>
        </is>
      </c>
      <c r="B3226">
        <f>VLOOKUP(1405,Requirements!A2:B2967,2,FALSE)</f>
        <v/>
      </c>
    </row>
    <row r="3227">
      <c r="A3227" t="inlineStr">
        <is>
          <t xml:space="preserve">parent </t>
        </is>
      </c>
      <c r="B3227">
        <f>VLOOKUP(1424,Requirements!A2:B2967,2,FALSE)</f>
        <v/>
      </c>
    </row>
    <row r="3228">
      <c r="A3228" t="inlineStr">
        <is>
          <t xml:space="preserve">parent </t>
        </is>
      </c>
      <c r="B3228">
        <f>VLOOKUP(1425,Requirements!A2:B2967,2,FALSE)</f>
        <v/>
      </c>
    </row>
    <row r="3229">
      <c r="A3229" t="inlineStr">
        <is>
          <t xml:space="preserve">parent </t>
        </is>
      </c>
      <c r="B3229">
        <f>VLOOKUP(1432,Requirements!A2:B2967,2,FALSE)</f>
        <v/>
      </c>
    </row>
    <row r="3230">
      <c r="A3230" t="inlineStr">
        <is>
          <t xml:space="preserve">parent </t>
        </is>
      </c>
      <c r="B3230">
        <f>VLOOKUP(1436,Requirements!A2:B2967,2,FALSE)</f>
        <v/>
      </c>
    </row>
    <row r="3231">
      <c r="A3231" t="inlineStr">
        <is>
          <t xml:space="preserve">parent </t>
        </is>
      </c>
      <c r="B3231">
        <f>VLOOKUP(1443,Requirements!A2:B2967,2,FALSE)</f>
        <v/>
      </c>
    </row>
    <row r="3232">
      <c r="A3232" t="inlineStr">
        <is>
          <t xml:space="preserve">parent </t>
        </is>
      </c>
      <c r="B3232">
        <f>VLOOKUP(1481,Requirements!A2:B2967,2,FALSE)</f>
        <v/>
      </c>
    </row>
    <row r="3233">
      <c r="A3233" t="inlineStr">
        <is>
          <t xml:space="preserve">parent </t>
        </is>
      </c>
      <c r="B3233">
        <f>VLOOKUP(1487,Requirements!A2:B2967,2,FALSE)</f>
        <v/>
      </c>
    </row>
    <row r="3234">
      <c r="A3234" t="inlineStr">
        <is>
          <t xml:space="preserve">parent </t>
        </is>
      </c>
      <c r="B3234">
        <f>VLOOKUP(1493,Requirements!A2:B2967,2,FALSE)</f>
        <v/>
      </c>
    </row>
    <row r="3235">
      <c r="A3235" t="inlineStr">
        <is>
          <t xml:space="preserve">parent </t>
        </is>
      </c>
      <c r="B3235">
        <f>VLOOKUP(1498,Requirements!A2:B2967,2,FALSE)</f>
        <v/>
      </c>
    </row>
    <row r="3236">
      <c r="A3236" t="inlineStr">
        <is>
          <t xml:space="preserve">parent </t>
        </is>
      </c>
      <c r="B3236">
        <f>VLOOKUP(1506,Requirements!A2:B2967,2,FALSE)</f>
        <v/>
      </c>
    </row>
    <row r="3237">
      <c r="A3237" t="inlineStr">
        <is>
          <t xml:space="preserve">parent </t>
        </is>
      </c>
      <c r="B3237">
        <f>VLOOKUP(1519,Requirements!A2:B2967,2,FALSE)</f>
        <v/>
      </c>
    </row>
    <row r="3238">
      <c r="A3238" t="inlineStr">
        <is>
          <t xml:space="preserve">parent </t>
        </is>
      </c>
      <c r="B3238">
        <f>VLOOKUP(1520,Requirements!A2:B2967,2,FALSE)</f>
        <v/>
      </c>
    </row>
    <row r="3239">
      <c r="A3239" t="inlineStr">
        <is>
          <t xml:space="preserve">parent </t>
        </is>
      </c>
      <c r="B3239">
        <f>VLOOKUP(1530,Requirements!A2:B2967,2,FALSE)</f>
        <v/>
      </c>
    </row>
    <row r="3240">
      <c r="A3240" t="inlineStr">
        <is>
          <t xml:space="preserve">parent </t>
        </is>
      </c>
      <c r="B3240">
        <f>VLOOKUP(1534,Requirements!A2:B2967,2,FALSE)</f>
        <v/>
      </c>
    </row>
    <row r="3241">
      <c r="A3241" t="inlineStr">
        <is>
          <t xml:space="preserve">parent </t>
        </is>
      </c>
      <c r="B3241">
        <f>VLOOKUP(1537,Requirements!A2:B2967,2,FALSE)</f>
        <v/>
      </c>
    </row>
    <row r="3242">
      <c r="A3242" t="inlineStr">
        <is>
          <t xml:space="preserve">parent </t>
        </is>
      </c>
      <c r="B3242">
        <f>VLOOKUP(1543,Requirements!A2:B2967,2,FALSE)</f>
        <v/>
      </c>
    </row>
    <row r="3243">
      <c r="A3243" t="inlineStr">
        <is>
          <t xml:space="preserve">parent </t>
        </is>
      </c>
      <c r="B3243">
        <f>VLOOKUP(1568,Requirements!A2:B2967,2,FALSE)</f>
        <v/>
      </c>
    </row>
    <row r="3244">
      <c r="A3244" t="inlineStr">
        <is>
          <t xml:space="preserve">parent </t>
        </is>
      </c>
      <c r="B3244">
        <f>VLOOKUP(1572,Requirements!A2:B2967,2,FALSE)</f>
        <v/>
      </c>
    </row>
    <row r="3245">
      <c r="A3245" t="inlineStr">
        <is>
          <t xml:space="preserve">parent </t>
        </is>
      </c>
      <c r="B3245">
        <f>VLOOKUP(1579,Requirements!A2:B2967,2,FALSE)</f>
        <v/>
      </c>
    </row>
    <row r="3246">
      <c r="A3246" t="inlineStr">
        <is>
          <t xml:space="preserve">parent </t>
        </is>
      </c>
      <c r="B3246">
        <f>VLOOKUP(1586,Requirements!A2:B2967,2,FALSE)</f>
        <v/>
      </c>
    </row>
    <row r="3247">
      <c r="A3247" t="inlineStr">
        <is>
          <t xml:space="preserve">parent </t>
        </is>
      </c>
      <c r="B3247">
        <f>VLOOKUP(1598,Requirements!A2:B2967,2,FALSE)</f>
        <v/>
      </c>
    </row>
    <row r="3248">
      <c r="A3248" t="inlineStr">
        <is>
          <t xml:space="preserve">parent </t>
        </is>
      </c>
      <c r="B3248">
        <f>VLOOKUP(1626,Requirements!A2:B2967,2,FALSE)</f>
        <v/>
      </c>
    </row>
    <row r="3249">
      <c r="A3249" t="inlineStr">
        <is>
          <t xml:space="preserve">parent </t>
        </is>
      </c>
      <c r="B3249">
        <f>VLOOKUP(1631,Requirements!A2:B2967,2,FALSE)</f>
        <v/>
      </c>
    </row>
    <row r="3250">
      <c r="A3250" t="inlineStr">
        <is>
          <t xml:space="preserve">parent </t>
        </is>
      </c>
      <c r="B3250">
        <f>VLOOKUP(1633,Requirements!A2:B2967,2,FALSE)</f>
        <v/>
      </c>
    </row>
    <row r="3251">
      <c r="A3251" t="inlineStr">
        <is>
          <t xml:space="preserve">parent </t>
        </is>
      </c>
      <c r="B3251">
        <f>VLOOKUP(1637,Requirements!A2:B2967,2,FALSE)</f>
        <v/>
      </c>
    </row>
    <row r="3252">
      <c r="A3252" t="inlineStr">
        <is>
          <t xml:space="preserve">parent </t>
        </is>
      </c>
      <c r="B3252">
        <f>VLOOKUP(1644,Requirements!A2:B2967,2,FALSE)</f>
        <v/>
      </c>
    </row>
    <row r="3253">
      <c r="A3253" t="inlineStr">
        <is>
          <t xml:space="preserve">parent </t>
        </is>
      </c>
      <c r="B3253">
        <f>VLOOKUP(1646,Requirements!A2:B2967,2,FALSE)</f>
        <v/>
      </c>
    </row>
    <row r="3254">
      <c r="A3254" t="inlineStr">
        <is>
          <t xml:space="preserve">parent </t>
        </is>
      </c>
      <c r="B3254">
        <f>VLOOKUP(1655,Requirements!A2:B2967,2,FALSE)</f>
        <v/>
      </c>
    </row>
    <row r="3255">
      <c r="A3255" t="inlineStr">
        <is>
          <t xml:space="preserve">parent </t>
        </is>
      </c>
      <c r="B3255">
        <f>VLOOKUP(1684,Requirements!A2:B2967,2,FALSE)</f>
        <v/>
      </c>
    </row>
    <row r="3256">
      <c r="A3256" t="inlineStr">
        <is>
          <t xml:space="preserve">parent </t>
        </is>
      </c>
      <c r="B3256">
        <f>VLOOKUP(1685,Requirements!A2:B2967,2,FALSE)</f>
        <v/>
      </c>
    </row>
    <row r="3257">
      <c r="A3257" t="inlineStr">
        <is>
          <t xml:space="preserve">parent </t>
        </is>
      </c>
      <c r="B3257">
        <f>VLOOKUP(1687,Requirements!A2:B2967,2,FALSE)</f>
        <v/>
      </c>
    </row>
    <row r="3258">
      <c r="A3258" t="inlineStr">
        <is>
          <t xml:space="preserve">parent </t>
        </is>
      </c>
      <c r="B3258">
        <f>VLOOKUP(1688,Requirements!A2:B2967,2,FALSE)</f>
        <v/>
      </c>
    </row>
    <row r="3259">
      <c r="A3259" t="inlineStr">
        <is>
          <t xml:space="preserve">parent </t>
        </is>
      </c>
      <c r="B3259">
        <f>VLOOKUP(1691,Requirements!A2:B2967,2,FALSE)</f>
        <v/>
      </c>
    </row>
    <row r="3260">
      <c r="A3260" t="inlineStr">
        <is>
          <t xml:space="preserve">parent </t>
        </is>
      </c>
      <c r="B3260">
        <f>VLOOKUP(1693,Requirements!A2:B2967,2,FALSE)</f>
        <v/>
      </c>
    </row>
    <row r="3261">
      <c r="A3261" t="inlineStr">
        <is>
          <t xml:space="preserve">parent </t>
        </is>
      </c>
      <c r="B3261">
        <f>VLOOKUP(1694,Requirements!A2:B2967,2,FALSE)</f>
        <v/>
      </c>
    </row>
    <row r="3262">
      <c r="A3262" t="inlineStr">
        <is>
          <t xml:space="preserve">parent </t>
        </is>
      </c>
      <c r="B3262">
        <f>VLOOKUP(1695,Requirements!A2:B2967,2,FALSE)</f>
        <v/>
      </c>
    </row>
    <row r="3263">
      <c r="A3263" t="inlineStr">
        <is>
          <t xml:space="preserve">parent </t>
        </is>
      </c>
      <c r="B3263">
        <f>VLOOKUP(1697,Requirements!A2:B2967,2,FALSE)</f>
        <v/>
      </c>
    </row>
    <row r="3264">
      <c r="A3264" t="inlineStr">
        <is>
          <t xml:space="preserve">parent </t>
        </is>
      </c>
      <c r="B3264">
        <f>VLOOKUP(1699,Requirements!A2:B2967,2,FALSE)</f>
        <v/>
      </c>
    </row>
    <row r="3265">
      <c r="A3265" t="inlineStr">
        <is>
          <t xml:space="preserve">parent </t>
        </is>
      </c>
      <c r="B3265">
        <f>VLOOKUP(1703,Requirements!A2:B2967,2,FALSE)</f>
        <v/>
      </c>
    </row>
    <row r="3266">
      <c r="A3266" t="inlineStr">
        <is>
          <t xml:space="preserve">parent </t>
        </is>
      </c>
      <c r="B3266">
        <f>VLOOKUP(1739,Requirements!A2:B2967,2,FALSE)</f>
        <v/>
      </c>
    </row>
    <row r="3267">
      <c r="A3267" t="inlineStr">
        <is>
          <t xml:space="preserve">parent </t>
        </is>
      </c>
      <c r="B3267">
        <f>VLOOKUP(1742,Requirements!A2:B2967,2,FALSE)</f>
        <v/>
      </c>
    </row>
    <row r="3268">
      <c r="A3268" t="inlineStr">
        <is>
          <t xml:space="preserve">parent </t>
        </is>
      </c>
      <c r="B3268">
        <f>VLOOKUP(1753,Requirements!A2:B2967,2,FALSE)</f>
        <v/>
      </c>
    </row>
    <row r="3269">
      <c r="A3269" t="inlineStr">
        <is>
          <t xml:space="preserve">parent </t>
        </is>
      </c>
      <c r="B3269">
        <f>VLOOKUP(1758,Requirements!A2:B2967,2,FALSE)</f>
        <v/>
      </c>
    </row>
    <row r="3270">
      <c r="A3270" t="inlineStr">
        <is>
          <t xml:space="preserve">parent </t>
        </is>
      </c>
      <c r="B3270">
        <f>VLOOKUP(1761,Requirements!A2:B2967,2,FALSE)</f>
        <v/>
      </c>
    </row>
    <row r="3271">
      <c r="A3271" t="inlineStr">
        <is>
          <t xml:space="preserve">parent </t>
        </is>
      </c>
      <c r="B3271">
        <f>VLOOKUP(1765,Requirements!A2:B2967,2,FALSE)</f>
        <v/>
      </c>
    </row>
    <row r="3272">
      <c r="A3272" t="inlineStr">
        <is>
          <t xml:space="preserve">parent </t>
        </is>
      </c>
      <c r="B3272">
        <f>VLOOKUP(1774,Requirements!A2:B2967,2,FALSE)</f>
        <v/>
      </c>
    </row>
    <row r="3273">
      <c r="A3273" t="inlineStr">
        <is>
          <t xml:space="preserve">parent </t>
        </is>
      </c>
      <c r="B3273">
        <f>VLOOKUP(1776,Requirements!A2:B2967,2,FALSE)</f>
        <v/>
      </c>
    </row>
    <row r="3274">
      <c r="A3274" t="inlineStr">
        <is>
          <t xml:space="preserve">parent </t>
        </is>
      </c>
      <c r="B3274">
        <f>VLOOKUP(1787,Requirements!A2:B2967,2,FALSE)</f>
        <v/>
      </c>
    </row>
    <row r="3275">
      <c r="A3275" t="inlineStr">
        <is>
          <t xml:space="preserve">parent </t>
        </is>
      </c>
      <c r="B3275">
        <f>VLOOKUP(1796,Requirements!A2:B2967,2,FALSE)</f>
        <v/>
      </c>
    </row>
    <row r="3276">
      <c r="A3276" t="inlineStr">
        <is>
          <t xml:space="preserve">parent </t>
        </is>
      </c>
      <c r="B3276">
        <f>VLOOKUP(1799,Requirements!A2:B2967,2,FALSE)</f>
        <v/>
      </c>
    </row>
    <row r="3277">
      <c r="A3277" t="inlineStr">
        <is>
          <t xml:space="preserve">parent </t>
        </is>
      </c>
      <c r="B3277">
        <f>VLOOKUP(1801,Requirements!A2:B2967,2,FALSE)</f>
        <v/>
      </c>
    </row>
    <row r="3278">
      <c r="A3278" t="inlineStr">
        <is>
          <t xml:space="preserve">parent </t>
        </is>
      </c>
      <c r="B3278">
        <f>VLOOKUP(1809,Requirements!A2:B2967,2,FALSE)</f>
        <v/>
      </c>
    </row>
    <row r="3279">
      <c r="A3279" t="inlineStr">
        <is>
          <t xml:space="preserve">parent </t>
        </is>
      </c>
      <c r="B3279">
        <f>VLOOKUP(1813,Requirements!A2:B2967,2,FALSE)</f>
        <v/>
      </c>
    </row>
    <row r="3280">
      <c r="A3280" t="inlineStr">
        <is>
          <t xml:space="preserve">parent </t>
        </is>
      </c>
      <c r="B3280">
        <f>VLOOKUP(1815,Requirements!A2:B2967,2,FALSE)</f>
        <v/>
      </c>
    </row>
    <row r="3281">
      <c r="A3281" t="inlineStr">
        <is>
          <t xml:space="preserve">parent </t>
        </is>
      </c>
      <c r="B3281">
        <f>VLOOKUP(1827,Requirements!A2:B2967,2,FALSE)</f>
        <v/>
      </c>
    </row>
    <row r="3282">
      <c r="A3282" t="inlineStr">
        <is>
          <t xml:space="preserve">parent </t>
        </is>
      </c>
      <c r="B3282">
        <f>VLOOKUP(1834,Requirements!A2:B2967,2,FALSE)</f>
        <v/>
      </c>
    </row>
    <row r="3283">
      <c r="A3283" t="inlineStr">
        <is>
          <t xml:space="preserve">parent </t>
        </is>
      </c>
      <c r="B3283">
        <f>VLOOKUP(1842,Requirements!A2:B2967,2,FALSE)</f>
        <v/>
      </c>
    </row>
    <row r="3284">
      <c r="A3284" t="inlineStr">
        <is>
          <t xml:space="preserve">parent </t>
        </is>
      </c>
      <c r="B3284">
        <f>VLOOKUP(1852,Requirements!A2:B2967,2,FALSE)</f>
        <v/>
      </c>
    </row>
    <row r="3285">
      <c r="A3285" t="inlineStr">
        <is>
          <t xml:space="preserve">parent </t>
        </is>
      </c>
      <c r="B3285">
        <f>VLOOKUP(1875,Requirements!A2:B2967,2,FALSE)</f>
        <v/>
      </c>
    </row>
    <row r="3286">
      <c r="A3286" t="inlineStr">
        <is>
          <t xml:space="preserve">parent </t>
        </is>
      </c>
      <c r="B3286">
        <f>VLOOKUP(1884,Requirements!A2:B2967,2,FALSE)</f>
        <v/>
      </c>
    </row>
    <row r="3287">
      <c r="A3287" t="inlineStr">
        <is>
          <t xml:space="preserve">parent </t>
        </is>
      </c>
      <c r="B3287">
        <f>VLOOKUP(1893,Requirements!A2:B2967,2,FALSE)</f>
        <v/>
      </c>
    </row>
    <row r="3288">
      <c r="A3288" t="inlineStr">
        <is>
          <t xml:space="preserve">parent </t>
        </is>
      </c>
      <c r="B3288">
        <f>VLOOKUP(1897,Requirements!A2:B2967,2,FALSE)</f>
        <v/>
      </c>
    </row>
    <row r="3289">
      <c r="A3289" t="inlineStr">
        <is>
          <t xml:space="preserve">parent </t>
        </is>
      </c>
      <c r="B3289">
        <f>VLOOKUP(1925,Requirements!A2:B2967,2,FALSE)</f>
        <v/>
      </c>
    </row>
    <row r="3290">
      <c r="A3290" t="inlineStr">
        <is>
          <t xml:space="preserve">parent </t>
        </is>
      </c>
      <c r="B3290">
        <f>VLOOKUP(1951,Requirements!A2:B2967,2,FALSE)</f>
        <v/>
      </c>
    </row>
    <row r="3291">
      <c r="A3291" t="inlineStr">
        <is>
          <t xml:space="preserve">parent </t>
        </is>
      </c>
      <c r="B3291">
        <f>VLOOKUP(1952,Requirements!A2:B2967,2,FALSE)</f>
        <v/>
      </c>
    </row>
    <row r="3292">
      <c r="A3292" t="inlineStr">
        <is>
          <t xml:space="preserve">parent </t>
        </is>
      </c>
      <c r="B3292">
        <f>VLOOKUP(2024,Requirements!A2:B2967,2,FALSE)</f>
        <v/>
      </c>
    </row>
    <row r="3293">
      <c r="A3293" t="inlineStr">
        <is>
          <t xml:space="preserve">parent </t>
        </is>
      </c>
      <c r="B3293">
        <f>VLOOKUP(2026,Requirements!A2:B2967,2,FALSE)</f>
        <v/>
      </c>
    </row>
    <row r="3294">
      <c r="A3294" t="inlineStr">
        <is>
          <t xml:space="preserve">parent </t>
        </is>
      </c>
      <c r="B3294">
        <f>VLOOKUP(2034,Requirements!A2:B2967,2,FALSE)</f>
        <v/>
      </c>
    </row>
    <row r="3295">
      <c r="A3295" t="inlineStr">
        <is>
          <t xml:space="preserve">parent </t>
        </is>
      </c>
      <c r="B3295">
        <f>VLOOKUP(2045,Requirements!A2:B2967,2,FALSE)</f>
        <v/>
      </c>
    </row>
    <row r="3296">
      <c r="A3296" t="inlineStr">
        <is>
          <t xml:space="preserve">parent </t>
        </is>
      </c>
      <c r="B3296">
        <f>VLOOKUP(2058,Requirements!A2:B2967,2,FALSE)</f>
        <v/>
      </c>
    </row>
    <row r="3297">
      <c r="A3297" t="inlineStr">
        <is>
          <t xml:space="preserve">parent </t>
        </is>
      </c>
      <c r="B3297">
        <f>VLOOKUP(2073,Requirements!A2:B2967,2,FALSE)</f>
        <v/>
      </c>
    </row>
    <row r="3298">
      <c r="A3298" t="inlineStr">
        <is>
          <t xml:space="preserve">parent </t>
        </is>
      </c>
      <c r="B3298">
        <f>VLOOKUP(2075,Requirements!A2:B2967,2,FALSE)</f>
        <v/>
      </c>
    </row>
    <row r="3299">
      <c r="A3299" t="inlineStr">
        <is>
          <t xml:space="preserve">parent </t>
        </is>
      </c>
      <c r="B3299">
        <f>VLOOKUP(2087,Requirements!A2:B2967,2,FALSE)</f>
        <v/>
      </c>
    </row>
    <row r="3300">
      <c r="A3300" t="inlineStr">
        <is>
          <t xml:space="preserve">parent </t>
        </is>
      </c>
      <c r="B3300">
        <f>VLOOKUP(2099,Requirements!A2:B2967,2,FALSE)</f>
        <v/>
      </c>
    </row>
    <row r="3301">
      <c r="A3301" t="inlineStr">
        <is>
          <t xml:space="preserve">parent </t>
        </is>
      </c>
      <c r="B3301">
        <f>VLOOKUP(2101,Requirements!A2:B2967,2,FALSE)</f>
        <v/>
      </c>
    </row>
    <row r="3302">
      <c r="A3302" t="inlineStr">
        <is>
          <t xml:space="preserve">parent </t>
        </is>
      </c>
      <c r="B3302">
        <f>VLOOKUP(2117,Requirements!A2:B2967,2,FALSE)</f>
        <v/>
      </c>
    </row>
    <row r="3303">
      <c r="A3303" t="inlineStr">
        <is>
          <t xml:space="preserve">parent </t>
        </is>
      </c>
      <c r="B3303">
        <f>VLOOKUP(2121,Requirements!A2:B2967,2,FALSE)</f>
        <v/>
      </c>
    </row>
    <row r="3304">
      <c r="A3304" t="inlineStr">
        <is>
          <t xml:space="preserve">parent </t>
        </is>
      </c>
      <c r="B3304">
        <f>VLOOKUP(2122,Requirements!A2:B2967,2,FALSE)</f>
        <v/>
      </c>
    </row>
    <row r="3305">
      <c r="A3305" t="inlineStr">
        <is>
          <t xml:space="preserve">parent </t>
        </is>
      </c>
      <c r="B3305">
        <f>VLOOKUP(2123,Requirements!A2:B2967,2,FALSE)</f>
        <v/>
      </c>
    </row>
    <row r="3306">
      <c r="A3306" t="inlineStr">
        <is>
          <t xml:space="preserve">parent </t>
        </is>
      </c>
      <c r="B3306">
        <f>VLOOKUP(2137,Requirements!A2:B2967,2,FALSE)</f>
        <v/>
      </c>
    </row>
    <row r="3307">
      <c r="A3307" t="inlineStr">
        <is>
          <t xml:space="preserve">parent </t>
        </is>
      </c>
      <c r="B3307">
        <f>VLOOKUP(2160,Requirements!A2:B2967,2,FALSE)</f>
        <v/>
      </c>
    </row>
    <row r="3308">
      <c r="A3308" t="inlineStr">
        <is>
          <t xml:space="preserve">parent </t>
        </is>
      </c>
      <c r="B3308">
        <f>VLOOKUP(2195,Requirements!A2:B2967,2,FALSE)</f>
        <v/>
      </c>
    </row>
    <row r="3309">
      <c r="A3309" t="inlineStr">
        <is>
          <t xml:space="preserve">parent </t>
        </is>
      </c>
      <c r="B3309">
        <f>VLOOKUP(2210,Requirements!A2:B2967,2,FALSE)</f>
        <v/>
      </c>
    </row>
    <row r="3310">
      <c r="A3310" t="inlineStr">
        <is>
          <t xml:space="preserve">parent </t>
        </is>
      </c>
      <c r="B3310">
        <f>VLOOKUP(2211,Requirements!A2:B2967,2,FALSE)</f>
        <v/>
      </c>
    </row>
    <row r="3311">
      <c r="A3311" t="inlineStr">
        <is>
          <t xml:space="preserve">parent </t>
        </is>
      </c>
      <c r="B3311">
        <f>VLOOKUP(2217,Requirements!A2:B2967,2,FALSE)</f>
        <v/>
      </c>
    </row>
    <row r="3312">
      <c r="A3312" t="inlineStr">
        <is>
          <t xml:space="preserve">parent </t>
        </is>
      </c>
      <c r="B3312">
        <f>VLOOKUP(2230,Requirements!A2:B2967,2,FALSE)</f>
        <v/>
      </c>
    </row>
    <row r="3313">
      <c r="A3313" t="inlineStr">
        <is>
          <t xml:space="preserve">parent </t>
        </is>
      </c>
      <c r="B3313">
        <f>VLOOKUP(2232,Requirements!A2:B2967,2,FALSE)</f>
        <v/>
      </c>
    </row>
    <row r="3314">
      <c r="A3314" t="inlineStr">
        <is>
          <t xml:space="preserve">parent </t>
        </is>
      </c>
      <c r="B3314">
        <f>VLOOKUP(2234,Requirements!A2:B2967,2,FALSE)</f>
        <v/>
      </c>
    </row>
    <row r="3315">
      <c r="A3315" t="inlineStr">
        <is>
          <t xml:space="preserve">parent </t>
        </is>
      </c>
      <c r="B3315">
        <f>VLOOKUP(2242,Requirements!A2:B2967,2,FALSE)</f>
        <v/>
      </c>
    </row>
    <row r="3316">
      <c r="A3316" t="inlineStr">
        <is>
          <t xml:space="preserve">parent </t>
        </is>
      </c>
      <c r="B3316">
        <f>VLOOKUP(2246,Requirements!A2:B2967,2,FALSE)</f>
        <v/>
      </c>
    </row>
    <row r="3317">
      <c r="A3317" t="inlineStr">
        <is>
          <t xml:space="preserve">parent </t>
        </is>
      </c>
      <c r="B3317">
        <f>VLOOKUP(2256,Requirements!A2:B2967,2,FALSE)</f>
        <v/>
      </c>
    </row>
    <row r="3318">
      <c r="A3318" t="inlineStr">
        <is>
          <t xml:space="preserve">parent </t>
        </is>
      </c>
      <c r="B3318">
        <f>VLOOKUP(2273,Requirements!A2:B2967,2,FALSE)</f>
        <v/>
      </c>
    </row>
    <row r="3319">
      <c r="A3319" t="inlineStr">
        <is>
          <t xml:space="preserve">parent </t>
        </is>
      </c>
      <c r="B3319">
        <f>VLOOKUP(2291,Requirements!A2:B2967,2,FALSE)</f>
        <v/>
      </c>
    </row>
    <row r="3320">
      <c r="A3320" t="inlineStr">
        <is>
          <t xml:space="preserve">parent </t>
        </is>
      </c>
      <c r="B3320">
        <f>VLOOKUP(2347,Requirements!A2:B2967,2,FALSE)</f>
        <v/>
      </c>
    </row>
    <row r="3321">
      <c r="A3321" t="inlineStr">
        <is>
          <t xml:space="preserve">parent </t>
        </is>
      </c>
      <c r="B3321">
        <f>VLOOKUP(2353,Requirements!A2:B2967,2,FALSE)</f>
        <v/>
      </c>
    </row>
    <row r="3322">
      <c r="A3322" t="inlineStr">
        <is>
          <t xml:space="preserve">parent </t>
        </is>
      </c>
      <c r="B3322">
        <f>VLOOKUP(2356,Requirements!A2:B2967,2,FALSE)</f>
        <v/>
      </c>
    </row>
    <row r="3323">
      <c r="A3323" t="inlineStr">
        <is>
          <t xml:space="preserve">parent </t>
        </is>
      </c>
      <c r="B3323">
        <f>VLOOKUP(2393,Requirements!A2:B2967,2,FALSE)</f>
        <v/>
      </c>
    </row>
    <row r="3324">
      <c r="A3324" t="inlineStr">
        <is>
          <t xml:space="preserve">parent </t>
        </is>
      </c>
      <c r="B3324">
        <f>VLOOKUP(2395,Requirements!A2:B2967,2,FALSE)</f>
        <v/>
      </c>
    </row>
    <row r="3325">
      <c r="A3325" t="inlineStr">
        <is>
          <t xml:space="preserve">parent </t>
        </is>
      </c>
      <c r="B3325">
        <f>VLOOKUP(2405,Requirements!A2:B2967,2,FALSE)</f>
        <v/>
      </c>
    </row>
    <row r="3326">
      <c r="A3326" t="inlineStr">
        <is>
          <t xml:space="preserve">parent </t>
        </is>
      </c>
      <c r="B3326">
        <f>VLOOKUP(2410,Requirements!A2:B2967,2,FALSE)</f>
        <v/>
      </c>
    </row>
    <row r="3327">
      <c r="A3327" t="inlineStr">
        <is>
          <t xml:space="preserve">parent </t>
        </is>
      </c>
      <c r="B3327">
        <f>VLOOKUP(2424,Requirements!A2:B2967,2,FALSE)</f>
        <v/>
      </c>
    </row>
    <row r="3328">
      <c r="A3328" t="inlineStr">
        <is>
          <t xml:space="preserve">parent </t>
        </is>
      </c>
      <c r="B3328">
        <f>VLOOKUP(2439,Requirements!A2:B2967,2,FALSE)</f>
        <v/>
      </c>
    </row>
    <row r="3329">
      <c r="A3329" t="inlineStr">
        <is>
          <t xml:space="preserve">parent </t>
        </is>
      </c>
      <c r="B3329">
        <f>VLOOKUP(2454,Requirements!A2:B2967,2,FALSE)</f>
        <v/>
      </c>
    </row>
    <row r="3330">
      <c r="A3330" t="inlineStr">
        <is>
          <t xml:space="preserve">parent </t>
        </is>
      </c>
      <c r="B3330">
        <f>VLOOKUP(2464,Requirements!A2:B2967,2,FALSE)</f>
        <v/>
      </c>
    </row>
    <row r="3331">
      <c r="A3331" t="inlineStr">
        <is>
          <t xml:space="preserve">parent </t>
        </is>
      </c>
      <c r="B3331">
        <f>VLOOKUP(2481,Requirements!A2:B2967,2,FALSE)</f>
        <v/>
      </c>
    </row>
    <row r="3332">
      <c r="A3332" t="inlineStr">
        <is>
          <t xml:space="preserve">parent </t>
        </is>
      </c>
      <c r="B3332">
        <f>VLOOKUP(2484,Requirements!A2:B2967,2,FALSE)</f>
        <v/>
      </c>
    </row>
    <row r="3333">
      <c r="A3333" t="inlineStr">
        <is>
          <t xml:space="preserve">parent </t>
        </is>
      </c>
      <c r="B3333">
        <f>VLOOKUP(2487,Requirements!A2:B2967,2,FALSE)</f>
        <v/>
      </c>
    </row>
    <row r="3334">
      <c r="A3334" t="inlineStr">
        <is>
          <t xml:space="preserve">parent </t>
        </is>
      </c>
      <c r="B3334">
        <f>VLOOKUP(2492,Requirements!A2:B2967,2,FALSE)</f>
        <v/>
      </c>
    </row>
    <row r="3335">
      <c r="A3335" t="inlineStr">
        <is>
          <t xml:space="preserve">parent </t>
        </is>
      </c>
      <c r="B3335">
        <f>VLOOKUP(2513,Requirements!A2:B2967,2,FALSE)</f>
        <v/>
      </c>
    </row>
    <row r="3336">
      <c r="A3336" t="inlineStr">
        <is>
          <t xml:space="preserve">parent </t>
        </is>
      </c>
      <c r="B3336">
        <f>VLOOKUP(2514,Requirements!A2:B2967,2,FALSE)</f>
        <v/>
      </c>
    </row>
    <row r="3337">
      <c r="A3337" t="inlineStr">
        <is>
          <t xml:space="preserve">parent </t>
        </is>
      </c>
      <c r="B3337">
        <f>VLOOKUP(2530,Requirements!A2:B2967,2,FALSE)</f>
        <v/>
      </c>
    </row>
    <row r="3338">
      <c r="A3338" t="inlineStr">
        <is>
          <t xml:space="preserve">parent </t>
        </is>
      </c>
      <c r="B3338">
        <f>VLOOKUP(2556,Requirements!A2:B2967,2,FALSE)</f>
        <v/>
      </c>
    </row>
    <row r="3339">
      <c r="A3339" t="inlineStr">
        <is>
          <t xml:space="preserve">parent </t>
        </is>
      </c>
      <c r="B3339">
        <f>VLOOKUP(2557,Requirements!A2:B2967,2,FALSE)</f>
        <v/>
      </c>
    </row>
    <row r="3340">
      <c r="A3340" t="inlineStr">
        <is>
          <t xml:space="preserve">parent </t>
        </is>
      </c>
      <c r="B3340">
        <f>VLOOKUP(2558,Requirements!A2:B2967,2,FALSE)</f>
        <v/>
      </c>
    </row>
    <row r="3341">
      <c r="A3341" t="inlineStr">
        <is>
          <t xml:space="preserve">parent </t>
        </is>
      </c>
      <c r="B3341">
        <f>VLOOKUP(2565,Requirements!A2:B2967,2,FALSE)</f>
        <v/>
      </c>
    </row>
    <row r="3342">
      <c r="A3342" t="inlineStr">
        <is>
          <t xml:space="preserve">parent </t>
        </is>
      </c>
      <c r="B3342">
        <f>VLOOKUP(2578,Requirements!A2:B2967,2,FALSE)</f>
        <v/>
      </c>
    </row>
    <row r="3343">
      <c r="A3343" t="inlineStr">
        <is>
          <t xml:space="preserve">parent </t>
        </is>
      </c>
      <c r="B3343">
        <f>VLOOKUP(2583,Requirements!A2:B2967,2,FALSE)</f>
        <v/>
      </c>
    </row>
    <row r="3344">
      <c r="A3344" t="inlineStr">
        <is>
          <t xml:space="preserve">parent </t>
        </is>
      </c>
      <c r="B3344">
        <f>VLOOKUP(2606,Requirements!A2:B2967,2,FALSE)</f>
        <v/>
      </c>
    </row>
    <row r="3345">
      <c r="A3345" t="inlineStr">
        <is>
          <t xml:space="preserve">parent </t>
        </is>
      </c>
      <c r="B3345">
        <f>VLOOKUP(2609,Requirements!A2:B2967,2,FALSE)</f>
        <v/>
      </c>
    </row>
    <row r="3346">
      <c r="A3346" t="inlineStr">
        <is>
          <t xml:space="preserve">parent </t>
        </is>
      </c>
      <c r="B3346">
        <f>VLOOKUP(2611,Requirements!A2:B2967,2,FALSE)</f>
        <v/>
      </c>
    </row>
    <row r="3347">
      <c r="A3347" t="inlineStr">
        <is>
          <t xml:space="preserve">parent </t>
        </is>
      </c>
      <c r="B3347">
        <f>VLOOKUP(2614,Requirements!A2:B2967,2,FALSE)</f>
        <v/>
      </c>
    </row>
    <row r="3348">
      <c r="A3348" t="inlineStr">
        <is>
          <t xml:space="preserve">parent </t>
        </is>
      </c>
      <c r="B3348">
        <f>VLOOKUP(2622,Requirements!A2:B2967,2,FALSE)</f>
        <v/>
      </c>
    </row>
    <row r="3349">
      <c r="A3349" t="inlineStr">
        <is>
          <t xml:space="preserve">parent </t>
        </is>
      </c>
      <c r="B3349">
        <f>VLOOKUP(2624,Requirements!A2:B2967,2,FALSE)</f>
        <v/>
      </c>
    </row>
    <row r="3350">
      <c r="A3350" t="inlineStr">
        <is>
          <t xml:space="preserve">parent </t>
        </is>
      </c>
      <c r="B3350">
        <f>VLOOKUP(2625,Requirements!A2:B2967,2,FALSE)</f>
        <v/>
      </c>
    </row>
    <row r="3351">
      <c r="A3351" t="inlineStr">
        <is>
          <t xml:space="preserve">parent </t>
        </is>
      </c>
      <c r="B3351">
        <f>VLOOKUP(2631,Requirements!A2:B2967,2,FALSE)</f>
        <v/>
      </c>
    </row>
    <row r="3352">
      <c r="A3352" t="inlineStr">
        <is>
          <t xml:space="preserve">parent </t>
        </is>
      </c>
      <c r="B3352">
        <f>VLOOKUP(2633,Requirements!A2:B2967,2,FALSE)</f>
        <v/>
      </c>
    </row>
    <row r="3353">
      <c r="A3353" t="inlineStr">
        <is>
          <t xml:space="preserve">parent </t>
        </is>
      </c>
      <c r="B3353">
        <f>VLOOKUP(2638,Requirements!A2:B2967,2,FALSE)</f>
        <v/>
      </c>
    </row>
    <row r="3354">
      <c r="A3354" t="inlineStr">
        <is>
          <t xml:space="preserve">parent </t>
        </is>
      </c>
      <c r="B3354">
        <f>VLOOKUP(2655,Requirements!A2:B2967,2,FALSE)</f>
        <v/>
      </c>
    </row>
    <row r="3355">
      <c r="A3355" t="inlineStr">
        <is>
          <t xml:space="preserve">parent </t>
        </is>
      </c>
      <c r="B3355">
        <f>VLOOKUP(2658,Requirements!A2:B2967,2,FALSE)</f>
        <v/>
      </c>
    </row>
    <row r="3356">
      <c r="A3356" t="inlineStr">
        <is>
          <t xml:space="preserve">parent </t>
        </is>
      </c>
      <c r="B3356">
        <f>VLOOKUP(2661,Requirements!A2:B2967,2,FALSE)</f>
        <v/>
      </c>
    </row>
    <row r="3357">
      <c r="A3357" t="inlineStr">
        <is>
          <t xml:space="preserve">parent </t>
        </is>
      </c>
      <c r="B3357">
        <f>VLOOKUP(2665,Requirements!A2:B2967,2,FALSE)</f>
        <v/>
      </c>
    </row>
    <row r="3358">
      <c r="A3358" t="inlineStr">
        <is>
          <t xml:space="preserve">parent </t>
        </is>
      </c>
      <c r="B3358">
        <f>VLOOKUP(2679,Requirements!A2:B2967,2,FALSE)</f>
        <v/>
      </c>
    </row>
    <row r="3359">
      <c r="A3359" t="inlineStr">
        <is>
          <t xml:space="preserve">parent </t>
        </is>
      </c>
      <c r="B3359">
        <f>VLOOKUP(2681,Requirements!A2:B2967,2,FALSE)</f>
        <v/>
      </c>
    </row>
    <row r="3360">
      <c r="A3360" t="inlineStr">
        <is>
          <t xml:space="preserve">parent </t>
        </is>
      </c>
      <c r="B3360">
        <f>VLOOKUP(2693,Requirements!A2:B2967,2,FALSE)</f>
        <v/>
      </c>
    </row>
    <row r="3361">
      <c r="A3361" t="inlineStr">
        <is>
          <t xml:space="preserve">parent </t>
        </is>
      </c>
      <c r="B3361">
        <f>VLOOKUP(2699,Requirements!A2:B2967,2,FALSE)</f>
        <v/>
      </c>
    </row>
    <row r="3362">
      <c r="A3362" t="inlineStr">
        <is>
          <t xml:space="preserve">parent </t>
        </is>
      </c>
      <c r="B3362">
        <f>VLOOKUP(2700,Requirements!A2:B2967,2,FALSE)</f>
        <v/>
      </c>
    </row>
    <row r="3363">
      <c r="A3363" t="inlineStr">
        <is>
          <t xml:space="preserve">parent </t>
        </is>
      </c>
      <c r="B3363">
        <f>VLOOKUP(2708,Requirements!A2:B2967,2,FALSE)</f>
        <v/>
      </c>
    </row>
    <row r="3364">
      <c r="A3364" t="inlineStr">
        <is>
          <t xml:space="preserve">parent </t>
        </is>
      </c>
      <c r="B3364">
        <f>VLOOKUP(2722,Requirements!A2:B2967,2,FALSE)</f>
        <v/>
      </c>
    </row>
    <row r="3365">
      <c r="A3365" t="inlineStr">
        <is>
          <t xml:space="preserve">parent </t>
        </is>
      </c>
      <c r="B3365">
        <f>VLOOKUP(2743,Requirements!A2:B2967,2,FALSE)</f>
        <v/>
      </c>
    </row>
    <row r="3366">
      <c r="A3366" t="inlineStr">
        <is>
          <t xml:space="preserve">parent </t>
        </is>
      </c>
      <c r="B3366">
        <f>VLOOKUP(2750,Requirements!A2:B2967,2,FALSE)</f>
        <v/>
      </c>
    </row>
    <row r="3367">
      <c r="A3367" t="inlineStr">
        <is>
          <t xml:space="preserve">parent </t>
        </is>
      </c>
      <c r="B3367">
        <f>VLOOKUP(2760,Requirements!A2:B2967,2,FALSE)</f>
        <v/>
      </c>
    </row>
    <row r="3368">
      <c r="A3368" t="inlineStr">
        <is>
          <t xml:space="preserve">parent </t>
        </is>
      </c>
      <c r="B3368">
        <f>VLOOKUP(2765,Requirements!A2:B2967,2,FALSE)</f>
        <v/>
      </c>
    </row>
    <row r="3369">
      <c r="A3369" t="inlineStr">
        <is>
          <t xml:space="preserve">parent </t>
        </is>
      </c>
      <c r="B3369">
        <f>VLOOKUP(2770,Requirements!A2:B2967,2,FALSE)</f>
        <v/>
      </c>
    </row>
    <row r="3370">
      <c r="A3370" t="inlineStr">
        <is>
          <t xml:space="preserve">parent </t>
        </is>
      </c>
      <c r="B3370">
        <f>VLOOKUP(2772,Requirements!A2:B2967,2,FALSE)</f>
        <v/>
      </c>
    </row>
    <row r="3371">
      <c r="A3371" t="inlineStr">
        <is>
          <t xml:space="preserve">parent </t>
        </is>
      </c>
      <c r="B3371">
        <f>VLOOKUP(2809,Requirements!A2:B2967,2,FALSE)</f>
        <v/>
      </c>
    </row>
    <row r="3372">
      <c r="A3372" t="inlineStr">
        <is>
          <t xml:space="preserve">parent </t>
        </is>
      </c>
      <c r="B3372">
        <f>VLOOKUP(2811,Requirements!A2:B2967,2,FALSE)</f>
        <v/>
      </c>
    </row>
    <row r="3373">
      <c r="A3373" t="inlineStr">
        <is>
          <t xml:space="preserve">parent </t>
        </is>
      </c>
      <c r="B3373">
        <f>VLOOKUP(2813,Requirements!A2:B2967,2,FALSE)</f>
        <v/>
      </c>
    </row>
    <row r="3374">
      <c r="A3374" t="inlineStr">
        <is>
          <t xml:space="preserve">parent </t>
        </is>
      </c>
      <c r="B3374">
        <f>VLOOKUP(2816,Requirements!A2:B2967,2,FALSE)</f>
        <v/>
      </c>
    </row>
    <row r="3375">
      <c r="A3375" t="inlineStr">
        <is>
          <t xml:space="preserve">parent </t>
        </is>
      </c>
      <c r="B3375">
        <f>VLOOKUP(2817,Requirements!A2:B2967,2,FALSE)</f>
        <v/>
      </c>
    </row>
    <row r="3376">
      <c r="A3376" t="inlineStr">
        <is>
          <t xml:space="preserve">parent </t>
        </is>
      </c>
      <c r="B3376">
        <f>VLOOKUP(2858,Requirements!A2:B2967,2,FALSE)</f>
        <v/>
      </c>
    </row>
    <row r="3377">
      <c r="A3377" t="inlineStr">
        <is>
          <t xml:space="preserve">parent </t>
        </is>
      </c>
      <c r="B3377">
        <f>VLOOKUP(2872,Requirements!A2:B2967,2,FALSE)</f>
        <v/>
      </c>
    </row>
    <row r="3378">
      <c r="A3378" t="inlineStr">
        <is>
          <t xml:space="preserve">parent </t>
        </is>
      </c>
      <c r="B3378">
        <f>VLOOKUP(2879,Requirements!A2:B2967,2,FALSE)</f>
        <v/>
      </c>
    </row>
    <row r="3379">
      <c r="A3379" t="inlineStr">
        <is>
          <t xml:space="preserve">parent </t>
        </is>
      </c>
      <c r="B3379">
        <f>VLOOKUP(2880,Requirements!A2:B2967,2,FALSE)</f>
        <v/>
      </c>
    </row>
    <row r="3380">
      <c r="A3380" t="inlineStr">
        <is>
          <t xml:space="preserve">parent </t>
        </is>
      </c>
      <c r="B3380">
        <f>VLOOKUP(2884,Requirements!A2:B2967,2,FALSE)</f>
        <v/>
      </c>
    </row>
    <row r="3381">
      <c r="A3381" t="inlineStr">
        <is>
          <t xml:space="preserve">parent </t>
        </is>
      </c>
      <c r="B3381">
        <f>VLOOKUP(2889,Requirements!A2:B2967,2,FALSE)</f>
        <v/>
      </c>
    </row>
    <row r="3382">
      <c r="A3382" t="inlineStr">
        <is>
          <t xml:space="preserve">parent </t>
        </is>
      </c>
      <c r="B3382">
        <f>VLOOKUP(2892,Requirements!A2:B2967,2,FALSE)</f>
        <v/>
      </c>
    </row>
    <row r="3383">
      <c r="A3383" t="inlineStr">
        <is>
          <t xml:space="preserve">parent </t>
        </is>
      </c>
      <c r="B3383">
        <f>VLOOKUP(2917,Requirements!A2:B2967,2,FALSE)</f>
        <v/>
      </c>
    </row>
    <row r="3384">
      <c r="A3384" t="inlineStr">
        <is>
          <t xml:space="preserve">parent </t>
        </is>
      </c>
      <c r="B3384">
        <f>VLOOKUP(2922,Requirements!A2:B2967,2,FALSE)</f>
        <v/>
      </c>
    </row>
    <row r="3385">
      <c r="A3385" t="inlineStr">
        <is>
          <t xml:space="preserve">parent </t>
        </is>
      </c>
      <c r="B3385">
        <f>VLOOKUP(2923,Requirements!A2:B2967,2,FALSE)</f>
        <v/>
      </c>
    </row>
    <row r="3386">
      <c r="A3386" t="inlineStr">
        <is>
          <t xml:space="preserve">parent </t>
        </is>
      </c>
      <c r="B3386">
        <f>VLOOKUP(2946,Requirements!A2:B2967,2,FALSE)</f>
        <v/>
      </c>
    </row>
    <row r="3387">
      <c r="A3387" t="inlineStr">
        <is>
          <t xml:space="preserve">parent </t>
        </is>
      </c>
      <c r="B3387">
        <f>VLOOKUP(2952,Requirements!A2:B2967,2,FALSE)</f>
        <v/>
      </c>
    </row>
    <row r="3388">
      <c r="A3388" t="inlineStr">
        <is>
          <t xml:space="preserve">parent </t>
        </is>
      </c>
      <c r="B3388">
        <f>VLOOKUP(2958,Requirements!A2:B2967,2,FALSE)</f>
        <v/>
      </c>
    </row>
    <row r="3389">
      <c r="A3389" t="inlineStr">
        <is>
          <t xml:space="preserve">parent </t>
        </is>
      </c>
      <c r="B3389">
        <f>VLOOKUP(2972,Requirements!A2:B2967,2,FALSE)</f>
        <v/>
      </c>
    </row>
    <row r="3390">
      <c r="A3390" t="inlineStr">
        <is>
          <t xml:space="preserve">parent </t>
        </is>
      </c>
      <c r="B3390">
        <f>VLOOKUP(2984,Requirements!A2:B2967,2,FALSE)</f>
        <v/>
      </c>
    </row>
    <row r="3391">
      <c r="A3391" t="inlineStr">
        <is>
          <t xml:space="preserve">parent </t>
        </is>
      </c>
      <c r="B3391">
        <f>VLOOKUP(2990,Requirements!A2:B2967,2,FALSE)</f>
        <v/>
      </c>
    </row>
    <row r="3392">
      <c r="A3392" t="inlineStr">
        <is>
          <t xml:space="preserve">parent </t>
        </is>
      </c>
      <c r="B3392">
        <f>VLOOKUP(2991,Requirements!A2:B2967,2,FALSE)</f>
        <v/>
      </c>
    </row>
    <row r="3393">
      <c r="A3393" t="inlineStr">
        <is>
          <t xml:space="preserve">parent </t>
        </is>
      </c>
      <c r="B3393">
        <f>VLOOKUP(2992,Requirements!A2:B2967,2,FALSE)</f>
        <v/>
      </c>
    </row>
    <row r="3394">
      <c r="A3394" t="inlineStr">
        <is>
          <t xml:space="preserve">parent </t>
        </is>
      </c>
      <c r="B3394">
        <f>VLOOKUP(2994,Requirements!A2:B2967,2,FALSE)</f>
        <v/>
      </c>
    </row>
    <row r="3395">
      <c r="A3395" t="inlineStr">
        <is>
          <t xml:space="preserve">parent </t>
        </is>
      </c>
      <c r="B3395">
        <f>VLOOKUP(2997,Requirements!A2:B2967,2,FALSE)</f>
        <v/>
      </c>
    </row>
    <row r="3396">
      <c r="A3396" t="inlineStr">
        <is>
          <t xml:space="preserve">parent </t>
        </is>
      </c>
      <c r="B3396">
        <f>VLOOKUP(2999,Requirements!A2:B2967,2,FALSE)</f>
        <v/>
      </c>
    </row>
    <row r="3397">
      <c r="A3397" t="inlineStr">
        <is>
          <t xml:space="preserve">parent </t>
        </is>
      </c>
      <c r="B3397">
        <f>VLOOKUP(3005,Requirements!A2:B2967,2,FALSE)</f>
        <v/>
      </c>
    </row>
    <row r="3398">
      <c r="A3398" t="inlineStr">
        <is>
          <t xml:space="preserve">parent </t>
        </is>
      </c>
      <c r="B3398">
        <f>VLOOKUP(3014,Requirements!A2:B2967,2,FALSE)</f>
        <v/>
      </c>
    </row>
    <row r="3399">
      <c r="A3399" t="inlineStr">
        <is>
          <t xml:space="preserve">parent </t>
        </is>
      </c>
      <c r="B3399">
        <f>VLOOKUP(3033,Requirements!A2:B2967,2,FALSE)</f>
        <v/>
      </c>
    </row>
    <row r="3400">
      <c r="A3400" t="inlineStr">
        <is>
          <t xml:space="preserve">parent </t>
        </is>
      </c>
      <c r="B3400">
        <f>VLOOKUP(3048,Requirements!A2:B2967,2,FALSE)</f>
        <v/>
      </c>
    </row>
    <row r="3401">
      <c r="A3401" t="inlineStr">
        <is>
          <t xml:space="preserve">parent </t>
        </is>
      </c>
      <c r="B3401">
        <f>VLOOKUP(3060,Requirements!A2:B2967,2,FALSE)</f>
        <v/>
      </c>
    </row>
    <row r="3402">
      <c r="A3402" t="inlineStr">
        <is>
          <t xml:space="preserve">parent </t>
        </is>
      </c>
      <c r="B3402">
        <f>VLOOKUP(3068,Requirements!A2:B2967,2,FALSE)</f>
        <v/>
      </c>
    </row>
    <row r="3403">
      <c r="A3403" t="inlineStr">
        <is>
          <t xml:space="preserve">parent </t>
        </is>
      </c>
      <c r="B3403">
        <f>VLOOKUP(3081,Requirements!A2:B2967,2,FALSE)</f>
        <v/>
      </c>
    </row>
    <row r="3404">
      <c r="A3404" t="inlineStr">
        <is>
          <t xml:space="preserve">parent </t>
        </is>
      </c>
      <c r="B3404">
        <f>VLOOKUP(3084,Requirements!A2:B2967,2,FALSE)</f>
        <v/>
      </c>
    </row>
    <row r="3405">
      <c r="A3405" t="inlineStr">
        <is>
          <t xml:space="preserve">parent </t>
        </is>
      </c>
      <c r="B3405">
        <f>VLOOKUP(3093,Requirements!A2:B2967,2,FALSE)</f>
        <v/>
      </c>
    </row>
    <row r="3406">
      <c r="A3406" t="inlineStr">
        <is>
          <t xml:space="preserve">parent </t>
        </is>
      </c>
      <c r="B3406">
        <f>VLOOKUP(3115,Requirements!A2:B2967,2,FALSE)</f>
        <v/>
      </c>
    </row>
    <row r="3407">
      <c r="A3407" t="inlineStr">
        <is>
          <t xml:space="preserve">parent </t>
        </is>
      </c>
      <c r="B3407">
        <f>VLOOKUP(3123,Requirements!A2:B2967,2,FALSE)</f>
        <v/>
      </c>
    </row>
    <row r="3408">
      <c r="A3408" t="inlineStr">
        <is>
          <t xml:space="preserve">parent </t>
        </is>
      </c>
      <c r="B3408">
        <f>VLOOKUP(3124,Requirements!A2:B2967,2,FALSE)</f>
        <v/>
      </c>
    </row>
    <row r="3409">
      <c r="A3409" t="inlineStr">
        <is>
          <t xml:space="preserve">parent </t>
        </is>
      </c>
      <c r="B3409">
        <f>VLOOKUP(3147,Requirements!A2:B2967,2,FALSE)</f>
        <v/>
      </c>
    </row>
    <row r="3410">
      <c r="A3410" t="inlineStr">
        <is>
          <t xml:space="preserve">parent </t>
        </is>
      </c>
      <c r="B3410">
        <f>VLOOKUP(3152,Requirements!A2:B2967,2,FALSE)</f>
        <v/>
      </c>
    </row>
    <row r="3411">
      <c r="A3411" t="inlineStr">
        <is>
          <t xml:space="preserve">parent </t>
        </is>
      </c>
      <c r="B3411">
        <f>VLOOKUP(3161,Requirements!A2:B2967,2,FALSE)</f>
        <v/>
      </c>
    </row>
    <row r="3412">
      <c r="A3412" t="inlineStr">
        <is>
          <t xml:space="preserve">parent </t>
        </is>
      </c>
      <c r="B3412">
        <f>VLOOKUP(3166,Requirements!A2:B2967,2,FALSE)</f>
        <v/>
      </c>
    </row>
    <row r="3413">
      <c r="A3413" t="inlineStr">
        <is>
          <t xml:space="preserve">parent </t>
        </is>
      </c>
      <c r="B3413">
        <f>VLOOKUP(3185,Requirements!A2:B2967,2,FALSE)</f>
        <v/>
      </c>
    </row>
    <row r="3414">
      <c r="A3414" t="inlineStr">
        <is>
          <t xml:space="preserve">parent </t>
        </is>
      </c>
      <c r="B3414">
        <f>VLOOKUP(3205,Requirements!A2:B2967,2,FALSE)</f>
        <v/>
      </c>
    </row>
    <row r="3415">
      <c r="A3415" t="inlineStr">
        <is>
          <t xml:space="preserve">parent </t>
        </is>
      </c>
      <c r="B3415">
        <f>VLOOKUP(3209,Requirements!A2:B2967,2,FALSE)</f>
        <v/>
      </c>
    </row>
    <row r="3416">
      <c r="A3416" t="inlineStr">
        <is>
          <t xml:space="preserve">parent </t>
        </is>
      </c>
      <c r="B3416">
        <f>VLOOKUP(3225,Requirements!A2:B2967,2,FALSE)</f>
        <v/>
      </c>
    </row>
    <row r="3417">
      <c r="A3417" t="inlineStr">
        <is>
          <t xml:space="preserve">parent </t>
        </is>
      </c>
      <c r="B3417">
        <f>VLOOKUP(3236,Requirements!A2:B2967,2,FALSE)</f>
        <v/>
      </c>
    </row>
    <row r="3418">
      <c r="A3418" t="inlineStr">
        <is>
          <t xml:space="preserve">parent </t>
        </is>
      </c>
      <c r="B3418">
        <f>VLOOKUP(3241,Requirements!A2:B2967,2,FALSE)</f>
        <v/>
      </c>
    </row>
    <row r="3419">
      <c r="A3419" t="inlineStr">
        <is>
          <t xml:space="preserve">parent </t>
        </is>
      </c>
      <c r="B3419">
        <f>VLOOKUP(3247,Requirements!A2:B2967,2,FALSE)</f>
        <v/>
      </c>
    </row>
    <row r="3420">
      <c r="A3420" t="inlineStr">
        <is>
          <t xml:space="preserve">parent </t>
        </is>
      </c>
      <c r="B3420">
        <f>VLOOKUP(3252,Requirements!A2:B2967,2,FALSE)</f>
        <v/>
      </c>
    </row>
    <row r="3421">
      <c r="A3421" t="inlineStr">
        <is>
          <t xml:space="preserve">parent </t>
        </is>
      </c>
      <c r="B3421">
        <f>VLOOKUP(3253,Requirements!A2:B2967,2,FALSE)</f>
        <v/>
      </c>
    </row>
    <row r="3422">
      <c r="A3422" t="inlineStr">
        <is>
          <t xml:space="preserve">parent </t>
        </is>
      </c>
      <c r="B3422">
        <f>VLOOKUP(3254,Requirements!A2:B2967,2,FALSE)</f>
        <v/>
      </c>
    </row>
    <row r="3423">
      <c r="A3423" t="inlineStr">
        <is>
          <t xml:space="preserve">parent </t>
        </is>
      </c>
      <c r="B3423">
        <f>VLOOKUP(3255,Requirements!A2:B2967,2,FALSE)</f>
        <v/>
      </c>
    </row>
    <row r="3424">
      <c r="A3424" t="inlineStr">
        <is>
          <t xml:space="preserve">parent </t>
        </is>
      </c>
      <c r="B3424">
        <f>VLOOKUP(3258,Requirements!A2:B2967,2,FALSE)</f>
        <v/>
      </c>
    </row>
    <row r="3425">
      <c r="A3425" t="inlineStr">
        <is>
          <t xml:space="preserve">parent </t>
        </is>
      </c>
      <c r="B3425">
        <f>VLOOKUP(3265,Requirements!A2:B2967,2,FALSE)</f>
        <v/>
      </c>
    </row>
    <row r="3426">
      <c r="A3426" t="inlineStr">
        <is>
          <t xml:space="preserve">parent </t>
        </is>
      </c>
      <c r="B3426">
        <f>VLOOKUP(3270,Requirements!A2:B2967,2,FALSE)</f>
        <v/>
      </c>
    </row>
    <row r="3427">
      <c r="A3427" t="inlineStr">
        <is>
          <t xml:space="preserve">parent </t>
        </is>
      </c>
      <c r="B3427">
        <f>VLOOKUP(3273,Requirements!A2:B2967,2,FALSE)</f>
        <v/>
      </c>
    </row>
    <row r="3428">
      <c r="A3428" t="inlineStr">
        <is>
          <t xml:space="preserve">parent </t>
        </is>
      </c>
      <c r="B3428">
        <f>VLOOKUP(3274,Requirements!A2:B2967,2,FALSE)</f>
        <v/>
      </c>
    </row>
    <row r="3429">
      <c r="A3429" t="inlineStr">
        <is>
          <t xml:space="preserve">date </t>
        </is>
      </c>
      <c r="B3429">
        <f>VLOOKUP(20,Requirements!A2:B2967,2,FALSE)</f>
        <v/>
      </c>
    </row>
    <row r="3430">
      <c r="A3430" t="inlineStr">
        <is>
          <t xml:space="preserve">date </t>
        </is>
      </c>
      <c r="B3430">
        <f>VLOOKUP(436,Requirements!A2:B2967,2,FALSE)</f>
        <v/>
      </c>
    </row>
    <row r="3431">
      <c r="A3431" t="inlineStr">
        <is>
          <t xml:space="preserve">date </t>
        </is>
      </c>
      <c r="B3431">
        <f>VLOOKUP(628,Requirements!A2:B2967,2,FALSE)</f>
        <v/>
      </c>
    </row>
    <row r="3432">
      <c r="A3432" t="inlineStr">
        <is>
          <t xml:space="preserve">date </t>
        </is>
      </c>
      <c r="B3432">
        <f>VLOOKUP(714,Requirements!A2:B2967,2,FALSE)</f>
        <v/>
      </c>
    </row>
    <row r="3433">
      <c r="A3433" t="inlineStr">
        <is>
          <t xml:space="preserve">date </t>
        </is>
      </c>
      <c r="B3433">
        <f>VLOOKUP(798,Requirements!A2:B2967,2,FALSE)</f>
        <v/>
      </c>
    </row>
    <row r="3434">
      <c r="A3434" t="inlineStr">
        <is>
          <t xml:space="preserve">date </t>
        </is>
      </c>
      <c r="B3434">
        <f>VLOOKUP(885,Requirements!A2:B2967,2,FALSE)</f>
        <v/>
      </c>
    </row>
    <row r="3435">
      <c r="A3435" t="inlineStr">
        <is>
          <t xml:space="preserve">date </t>
        </is>
      </c>
      <c r="B3435">
        <f>VLOOKUP(932,Requirements!A2:B2967,2,FALSE)</f>
        <v/>
      </c>
    </row>
    <row r="3436">
      <c r="A3436" t="inlineStr">
        <is>
          <t xml:space="preserve">date </t>
        </is>
      </c>
      <c r="B3436">
        <f>VLOOKUP(1148,Requirements!A2:B2967,2,FALSE)</f>
        <v/>
      </c>
    </row>
    <row r="3437">
      <c r="A3437" t="inlineStr">
        <is>
          <t xml:space="preserve">date </t>
        </is>
      </c>
      <c r="B3437">
        <f>VLOOKUP(1438,Requirements!A2:B2967,2,FALSE)</f>
        <v/>
      </c>
    </row>
    <row r="3438">
      <c r="A3438" t="inlineStr">
        <is>
          <t xml:space="preserve">date </t>
        </is>
      </c>
      <c r="B3438">
        <f>VLOOKUP(2735,Requirements!A2:B2967,2,FALSE)</f>
        <v/>
      </c>
    </row>
    <row r="3439">
      <c r="A3439" t="inlineStr">
        <is>
          <t xml:space="preserve">date </t>
        </is>
      </c>
      <c r="B3439">
        <f>VLOOKUP(3240,Requirements!A2:B2967,2,FALSE)</f>
        <v/>
      </c>
    </row>
    <row r="3440">
      <c r="A3440" t="inlineStr">
        <is>
          <t xml:space="preserve">kid </t>
        </is>
      </c>
      <c r="B3440">
        <f>VLOOKUP(21,Requirements!A2:B2967,2,FALSE)</f>
        <v/>
      </c>
    </row>
    <row r="3441">
      <c r="A3441" t="inlineStr">
        <is>
          <t xml:space="preserve">kid </t>
        </is>
      </c>
      <c r="B3441">
        <f>VLOOKUP(130,Requirements!A2:B2967,2,FALSE)</f>
        <v/>
      </c>
    </row>
    <row r="3442">
      <c r="A3442" t="inlineStr">
        <is>
          <t xml:space="preserve">kid </t>
        </is>
      </c>
      <c r="B3442">
        <f>VLOOKUP(157,Requirements!A2:B2967,2,FALSE)</f>
        <v/>
      </c>
    </row>
    <row r="3443">
      <c r="A3443" t="inlineStr">
        <is>
          <t xml:space="preserve">kid </t>
        </is>
      </c>
      <c r="B3443">
        <f>VLOOKUP(175,Requirements!A2:B2967,2,FALSE)</f>
        <v/>
      </c>
    </row>
    <row r="3444">
      <c r="A3444" t="inlineStr">
        <is>
          <t xml:space="preserve">kid </t>
        </is>
      </c>
      <c r="B3444">
        <f>VLOOKUP(227,Requirements!A2:B2967,2,FALSE)</f>
        <v/>
      </c>
    </row>
    <row r="3445">
      <c r="A3445" t="inlineStr">
        <is>
          <t xml:space="preserve">kid </t>
        </is>
      </c>
      <c r="B3445">
        <f>VLOOKUP(229,Requirements!A2:B2967,2,FALSE)</f>
        <v/>
      </c>
    </row>
    <row r="3446">
      <c r="A3446" t="inlineStr">
        <is>
          <t xml:space="preserve">kid </t>
        </is>
      </c>
      <c r="B3446">
        <f>VLOOKUP(444,Requirements!A2:B2967,2,FALSE)</f>
        <v/>
      </c>
    </row>
    <row r="3447">
      <c r="A3447" t="inlineStr">
        <is>
          <t xml:space="preserve">kid </t>
        </is>
      </c>
      <c r="B3447">
        <f>VLOOKUP(470,Requirements!A2:B2967,2,FALSE)</f>
        <v/>
      </c>
    </row>
    <row r="3448">
      <c r="A3448" t="inlineStr">
        <is>
          <t xml:space="preserve">kid </t>
        </is>
      </c>
      <c r="B3448">
        <f>VLOOKUP(606,Requirements!A2:B2967,2,FALSE)</f>
        <v/>
      </c>
    </row>
    <row r="3449">
      <c r="A3449" t="inlineStr">
        <is>
          <t xml:space="preserve">kid </t>
        </is>
      </c>
      <c r="B3449">
        <f>VLOOKUP(632,Requirements!A2:B2967,2,FALSE)</f>
        <v/>
      </c>
    </row>
    <row r="3450">
      <c r="A3450" t="inlineStr">
        <is>
          <t xml:space="preserve">kid </t>
        </is>
      </c>
      <c r="B3450">
        <f>VLOOKUP(666,Requirements!A2:B2967,2,FALSE)</f>
        <v/>
      </c>
    </row>
    <row r="3451">
      <c r="A3451" t="inlineStr">
        <is>
          <t xml:space="preserve">kid </t>
        </is>
      </c>
      <c r="B3451">
        <f>VLOOKUP(674,Requirements!A2:B2967,2,FALSE)</f>
        <v/>
      </c>
    </row>
    <row r="3452">
      <c r="A3452" t="inlineStr">
        <is>
          <t xml:space="preserve">kid </t>
        </is>
      </c>
      <c r="B3452">
        <f>VLOOKUP(724,Requirements!A2:B2967,2,FALSE)</f>
        <v/>
      </c>
    </row>
    <row r="3453">
      <c r="A3453" t="inlineStr">
        <is>
          <t xml:space="preserve">kid </t>
        </is>
      </c>
      <c r="B3453">
        <f>VLOOKUP(770,Requirements!A2:B2967,2,FALSE)</f>
        <v/>
      </c>
    </row>
    <row r="3454">
      <c r="A3454" t="inlineStr">
        <is>
          <t xml:space="preserve">kid </t>
        </is>
      </c>
      <c r="B3454">
        <f>VLOOKUP(861,Requirements!A2:B2967,2,FALSE)</f>
        <v/>
      </c>
    </row>
    <row r="3455">
      <c r="A3455" t="inlineStr">
        <is>
          <t xml:space="preserve">kid </t>
        </is>
      </c>
      <c r="B3455">
        <f>VLOOKUP(872,Requirements!A2:B2967,2,FALSE)</f>
        <v/>
      </c>
    </row>
    <row r="3456">
      <c r="A3456" t="inlineStr">
        <is>
          <t xml:space="preserve">kid </t>
        </is>
      </c>
      <c r="B3456">
        <f>VLOOKUP(881,Requirements!A2:B2967,2,FALSE)</f>
        <v/>
      </c>
    </row>
    <row r="3457">
      <c r="A3457" t="inlineStr">
        <is>
          <t xml:space="preserve">kid </t>
        </is>
      </c>
      <c r="B3457">
        <f>VLOOKUP(904,Requirements!A2:B2967,2,FALSE)</f>
        <v/>
      </c>
    </row>
    <row r="3458">
      <c r="A3458" t="inlineStr">
        <is>
          <t xml:space="preserve">kid </t>
        </is>
      </c>
      <c r="B3458">
        <f>VLOOKUP(921,Requirements!A2:B2967,2,FALSE)</f>
        <v/>
      </c>
    </row>
    <row r="3459">
      <c r="A3459" t="inlineStr">
        <is>
          <t xml:space="preserve">kid </t>
        </is>
      </c>
      <c r="B3459">
        <f>VLOOKUP(971,Requirements!A2:B2967,2,FALSE)</f>
        <v/>
      </c>
    </row>
    <row r="3460">
      <c r="A3460" t="inlineStr">
        <is>
          <t xml:space="preserve">kid </t>
        </is>
      </c>
      <c r="B3460">
        <f>VLOOKUP(1026,Requirements!A2:B2967,2,FALSE)</f>
        <v/>
      </c>
    </row>
    <row r="3461">
      <c r="A3461" t="inlineStr">
        <is>
          <t xml:space="preserve">kid </t>
        </is>
      </c>
      <c r="B3461">
        <f>VLOOKUP(1027,Requirements!A2:B2967,2,FALSE)</f>
        <v/>
      </c>
    </row>
    <row r="3462">
      <c r="A3462" t="inlineStr">
        <is>
          <t xml:space="preserve">kid </t>
        </is>
      </c>
      <c r="B3462">
        <f>VLOOKUP(1103,Requirements!A2:B2967,2,FALSE)</f>
        <v/>
      </c>
    </row>
    <row r="3463">
      <c r="A3463" t="inlineStr">
        <is>
          <t xml:space="preserve">kid </t>
        </is>
      </c>
      <c r="B3463">
        <f>VLOOKUP(1138,Requirements!A2:B2967,2,FALSE)</f>
        <v/>
      </c>
    </row>
    <row r="3464">
      <c r="A3464" t="inlineStr">
        <is>
          <t xml:space="preserve">kid </t>
        </is>
      </c>
      <c r="B3464">
        <f>VLOOKUP(1374,Requirements!A2:B2967,2,FALSE)</f>
        <v/>
      </c>
    </row>
    <row r="3465">
      <c r="A3465" t="inlineStr">
        <is>
          <t xml:space="preserve">kid </t>
        </is>
      </c>
      <c r="B3465">
        <f>VLOOKUP(1404,Requirements!A2:B2967,2,FALSE)</f>
        <v/>
      </c>
    </row>
    <row r="3466">
      <c r="A3466" t="inlineStr">
        <is>
          <t xml:space="preserve">kid </t>
        </is>
      </c>
      <c r="B3466">
        <f>VLOOKUP(1424,Requirements!A2:B2967,2,FALSE)</f>
        <v/>
      </c>
    </row>
    <row r="3467">
      <c r="A3467" t="inlineStr">
        <is>
          <t xml:space="preserve">kid </t>
        </is>
      </c>
      <c r="B3467">
        <f>VLOOKUP(1425,Requirements!A2:B2967,2,FALSE)</f>
        <v/>
      </c>
    </row>
    <row r="3468">
      <c r="A3468" t="inlineStr">
        <is>
          <t xml:space="preserve">kid </t>
        </is>
      </c>
      <c r="B3468">
        <f>VLOOKUP(1432,Requirements!A2:B2967,2,FALSE)</f>
        <v/>
      </c>
    </row>
    <row r="3469">
      <c r="A3469" t="inlineStr">
        <is>
          <t xml:space="preserve">kid </t>
        </is>
      </c>
      <c r="B3469">
        <f>VLOOKUP(1436,Requirements!A2:B2967,2,FALSE)</f>
        <v/>
      </c>
    </row>
    <row r="3470">
      <c r="A3470" t="inlineStr">
        <is>
          <t xml:space="preserve">kid </t>
        </is>
      </c>
      <c r="B3470">
        <f>VLOOKUP(1443,Requirements!A2:B2967,2,FALSE)</f>
        <v/>
      </c>
    </row>
    <row r="3471">
      <c r="A3471" t="inlineStr">
        <is>
          <t xml:space="preserve">kid </t>
        </is>
      </c>
      <c r="B3471">
        <f>VLOOKUP(1487,Requirements!A2:B2967,2,FALSE)</f>
        <v/>
      </c>
    </row>
    <row r="3472">
      <c r="A3472" t="inlineStr">
        <is>
          <t xml:space="preserve">kid </t>
        </is>
      </c>
      <c r="B3472">
        <f>VLOOKUP(1493,Requirements!A2:B2967,2,FALSE)</f>
        <v/>
      </c>
    </row>
    <row r="3473">
      <c r="A3473" t="inlineStr">
        <is>
          <t xml:space="preserve">kid </t>
        </is>
      </c>
      <c r="B3473">
        <f>VLOOKUP(1520,Requirements!A2:B2967,2,FALSE)</f>
        <v/>
      </c>
    </row>
    <row r="3474">
      <c r="A3474" t="inlineStr">
        <is>
          <t xml:space="preserve">kid </t>
        </is>
      </c>
      <c r="B3474">
        <f>VLOOKUP(1530,Requirements!A2:B2967,2,FALSE)</f>
        <v/>
      </c>
    </row>
    <row r="3475">
      <c r="A3475" t="inlineStr">
        <is>
          <t xml:space="preserve">kid </t>
        </is>
      </c>
      <c r="B3475">
        <f>VLOOKUP(1534,Requirements!A2:B2967,2,FALSE)</f>
        <v/>
      </c>
    </row>
    <row r="3476">
      <c r="A3476" t="inlineStr">
        <is>
          <t xml:space="preserve">kid </t>
        </is>
      </c>
      <c r="B3476">
        <f>VLOOKUP(1631,Requirements!A2:B2967,2,FALSE)</f>
        <v/>
      </c>
    </row>
    <row r="3477">
      <c r="A3477" t="inlineStr">
        <is>
          <t xml:space="preserve">kid </t>
        </is>
      </c>
      <c r="B3477">
        <f>VLOOKUP(1633,Requirements!A2:B2967,2,FALSE)</f>
        <v/>
      </c>
    </row>
    <row r="3478">
      <c r="A3478" t="inlineStr">
        <is>
          <t xml:space="preserve">kid </t>
        </is>
      </c>
      <c r="B3478">
        <f>VLOOKUP(1644,Requirements!A2:B2967,2,FALSE)</f>
        <v/>
      </c>
    </row>
    <row r="3479">
      <c r="A3479" t="inlineStr">
        <is>
          <t xml:space="preserve">kid </t>
        </is>
      </c>
      <c r="B3479">
        <f>VLOOKUP(1646,Requirements!A2:B2967,2,FALSE)</f>
        <v/>
      </c>
    </row>
    <row r="3480">
      <c r="A3480" t="inlineStr">
        <is>
          <t xml:space="preserve">kid </t>
        </is>
      </c>
      <c r="B3480">
        <f>VLOOKUP(1697,Requirements!A2:B2967,2,FALSE)</f>
        <v/>
      </c>
    </row>
    <row r="3481">
      <c r="A3481" t="inlineStr">
        <is>
          <t xml:space="preserve">kid </t>
        </is>
      </c>
      <c r="B3481">
        <f>VLOOKUP(1774,Requirements!A2:B2967,2,FALSE)</f>
        <v/>
      </c>
    </row>
    <row r="3482">
      <c r="A3482" t="inlineStr">
        <is>
          <t xml:space="preserve">kid </t>
        </is>
      </c>
      <c r="B3482">
        <f>VLOOKUP(1815,Requirements!A2:B2967,2,FALSE)</f>
        <v/>
      </c>
    </row>
    <row r="3483">
      <c r="A3483" t="inlineStr">
        <is>
          <t xml:space="preserve">kid </t>
        </is>
      </c>
      <c r="B3483">
        <f>VLOOKUP(1842,Requirements!A2:B2967,2,FALSE)</f>
        <v/>
      </c>
    </row>
    <row r="3484">
      <c r="A3484" t="inlineStr">
        <is>
          <t xml:space="preserve">kid </t>
        </is>
      </c>
      <c r="B3484">
        <f>VLOOKUP(1852,Requirements!A2:B2967,2,FALSE)</f>
        <v/>
      </c>
    </row>
    <row r="3485">
      <c r="A3485" t="inlineStr">
        <is>
          <t xml:space="preserve">kid </t>
        </is>
      </c>
      <c r="B3485">
        <f>VLOOKUP(1951,Requirements!A2:B2967,2,FALSE)</f>
        <v/>
      </c>
    </row>
    <row r="3486">
      <c r="A3486" t="inlineStr">
        <is>
          <t xml:space="preserve">kid </t>
        </is>
      </c>
      <c r="B3486">
        <f>VLOOKUP(1952,Requirements!A2:B2967,2,FALSE)</f>
        <v/>
      </c>
    </row>
    <row r="3487">
      <c r="A3487" t="inlineStr">
        <is>
          <t xml:space="preserve">kid </t>
        </is>
      </c>
      <c r="B3487">
        <f>VLOOKUP(1953,Requirements!A2:B2967,2,FALSE)</f>
        <v/>
      </c>
    </row>
    <row r="3488">
      <c r="A3488" t="inlineStr">
        <is>
          <t xml:space="preserve">kid </t>
        </is>
      </c>
      <c r="B3488">
        <f>VLOOKUP(2016,Requirements!A2:B2967,2,FALSE)</f>
        <v/>
      </c>
    </row>
    <row r="3489">
      <c r="A3489" t="inlineStr">
        <is>
          <t xml:space="preserve">kid </t>
        </is>
      </c>
      <c r="B3489">
        <f>VLOOKUP(2118,Requirements!A2:B2967,2,FALSE)</f>
        <v/>
      </c>
    </row>
    <row r="3490">
      <c r="A3490" t="inlineStr">
        <is>
          <t xml:space="preserve">kid </t>
        </is>
      </c>
      <c r="B3490">
        <f>VLOOKUP(2121,Requirements!A2:B2967,2,FALSE)</f>
        <v/>
      </c>
    </row>
    <row r="3491">
      <c r="A3491" t="inlineStr">
        <is>
          <t xml:space="preserve">kid </t>
        </is>
      </c>
      <c r="B3491">
        <f>VLOOKUP(2122,Requirements!A2:B2967,2,FALSE)</f>
        <v/>
      </c>
    </row>
    <row r="3492">
      <c r="A3492" t="inlineStr">
        <is>
          <t xml:space="preserve">kid </t>
        </is>
      </c>
      <c r="B3492">
        <f>VLOOKUP(2160,Requirements!A2:B2967,2,FALSE)</f>
        <v/>
      </c>
    </row>
    <row r="3493">
      <c r="A3493" t="inlineStr">
        <is>
          <t xml:space="preserve">kid </t>
        </is>
      </c>
      <c r="B3493">
        <f>VLOOKUP(2210,Requirements!A2:B2967,2,FALSE)</f>
        <v/>
      </c>
    </row>
    <row r="3494">
      <c r="A3494" t="inlineStr">
        <is>
          <t xml:space="preserve">kid </t>
        </is>
      </c>
      <c r="B3494">
        <f>VLOOKUP(2230,Requirements!A2:B2967,2,FALSE)</f>
        <v/>
      </c>
    </row>
    <row r="3495">
      <c r="A3495" t="inlineStr">
        <is>
          <t xml:space="preserve">kid </t>
        </is>
      </c>
      <c r="B3495">
        <f>VLOOKUP(2488,Requirements!A2:B2967,2,FALSE)</f>
        <v/>
      </c>
    </row>
    <row r="3496">
      <c r="A3496" t="inlineStr">
        <is>
          <t xml:space="preserve">kid </t>
        </is>
      </c>
      <c r="B3496">
        <f>VLOOKUP(2494,Requirements!A2:B2967,2,FALSE)</f>
        <v/>
      </c>
    </row>
    <row r="3497">
      <c r="A3497" t="inlineStr">
        <is>
          <t xml:space="preserve">kid </t>
        </is>
      </c>
      <c r="B3497">
        <f>VLOOKUP(2565,Requirements!A2:B2967,2,FALSE)</f>
        <v/>
      </c>
    </row>
    <row r="3498">
      <c r="A3498" t="inlineStr">
        <is>
          <t xml:space="preserve">kid </t>
        </is>
      </c>
      <c r="B3498">
        <f>VLOOKUP(2570,Requirements!A2:B2967,2,FALSE)</f>
        <v/>
      </c>
    </row>
    <row r="3499">
      <c r="A3499" t="inlineStr">
        <is>
          <t xml:space="preserve">kid </t>
        </is>
      </c>
      <c r="B3499">
        <f>VLOOKUP(2625,Requirements!A2:B2967,2,FALSE)</f>
        <v/>
      </c>
    </row>
    <row r="3500">
      <c r="A3500" t="inlineStr">
        <is>
          <t xml:space="preserve">kid </t>
        </is>
      </c>
      <c r="B3500">
        <f>VLOOKUP(2631,Requirements!A2:B2967,2,FALSE)</f>
        <v/>
      </c>
    </row>
    <row r="3501">
      <c r="A3501" t="inlineStr">
        <is>
          <t xml:space="preserve">kid </t>
        </is>
      </c>
      <c r="B3501">
        <f>VLOOKUP(2638,Requirements!A2:B2967,2,FALSE)</f>
        <v/>
      </c>
    </row>
    <row r="3502">
      <c r="A3502" t="inlineStr">
        <is>
          <t xml:space="preserve">kid </t>
        </is>
      </c>
      <c r="B3502">
        <f>VLOOKUP(2653,Requirements!A2:B2967,2,FALSE)</f>
        <v/>
      </c>
    </row>
    <row r="3503">
      <c r="A3503" t="inlineStr">
        <is>
          <t xml:space="preserve">kid </t>
        </is>
      </c>
      <c r="B3503">
        <f>VLOOKUP(2811,Requirements!A2:B2967,2,FALSE)</f>
        <v/>
      </c>
    </row>
    <row r="3504">
      <c r="A3504" t="inlineStr">
        <is>
          <t xml:space="preserve">kid </t>
        </is>
      </c>
      <c r="B3504">
        <f>VLOOKUP(2813,Requirements!A2:B2967,2,FALSE)</f>
        <v/>
      </c>
    </row>
    <row r="3505">
      <c r="A3505" t="inlineStr">
        <is>
          <t xml:space="preserve">kid </t>
        </is>
      </c>
      <c r="B3505">
        <f>VLOOKUP(2923,Requirements!A2:B2967,2,FALSE)</f>
        <v/>
      </c>
    </row>
    <row r="3506">
      <c r="A3506" t="inlineStr">
        <is>
          <t xml:space="preserve">kid </t>
        </is>
      </c>
      <c r="B3506">
        <f>VLOOKUP(3057,Requirements!A2:B2967,2,FALSE)</f>
        <v/>
      </c>
    </row>
    <row r="3507">
      <c r="A3507" t="inlineStr">
        <is>
          <t xml:space="preserve">kid </t>
        </is>
      </c>
      <c r="B3507">
        <f>VLOOKUP(3209,Requirements!A2:B2967,2,FALSE)</f>
        <v/>
      </c>
    </row>
    <row r="3508">
      <c r="A3508" t="inlineStr">
        <is>
          <t xml:space="preserve">kid </t>
        </is>
      </c>
      <c r="B3508">
        <f>VLOOKUP(3253,Requirements!A2:B2967,2,FALSE)</f>
        <v/>
      </c>
    </row>
    <row r="3509">
      <c r="A3509" t="inlineStr">
        <is>
          <t xml:space="preserve">kid </t>
        </is>
      </c>
      <c r="B3509">
        <f>VLOOKUP(3255,Requirements!A2:B2967,2,FALSE)</f>
        <v/>
      </c>
    </row>
    <row r="3510">
      <c r="A3510" t="inlineStr">
        <is>
          <t xml:space="preserve">kid </t>
        </is>
      </c>
      <c r="B3510">
        <f>VLOOKUP(3265,Requirements!A2:B2967,2,FALSE)</f>
        <v/>
      </c>
    </row>
    <row r="3511">
      <c r="A3511" t="inlineStr">
        <is>
          <t xml:space="preserve">thing </t>
        </is>
      </c>
      <c r="B3511">
        <f>VLOOKUP(22,Requirements!A2:B2967,2,FALSE)</f>
        <v/>
      </c>
    </row>
    <row r="3512">
      <c r="A3512" t="inlineStr">
        <is>
          <t xml:space="preserve">thing </t>
        </is>
      </c>
      <c r="B3512">
        <f>VLOOKUP(184,Requirements!A2:B2967,2,FALSE)</f>
        <v/>
      </c>
    </row>
    <row r="3513">
      <c r="A3513" t="inlineStr">
        <is>
          <t xml:space="preserve">thing </t>
        </is>
      </c>
      <c r="B3513">
        <f>VLOOKUP(185,Requirements!A2:B2967,2,FALSE)</f>
        <v/>
      </c>
    </row>
    <row r="3514">
      <c r="A3514" t="inlineStr">
        <is>
          <t xml:space="preserve">thing </t>
        </is>
      </c>
      <c r="B3514">
        <f>VLOOKUP(304,Requirements!A2:B2967,2,FALSE)</f>
        <v/>
      </c>
    </row>
    <row r="3515">
      <c r="A3515" t="inlineStr">
        <is>
          <t xml:space="preserve">thing </t>
        </is>
      </c>
      <c r="B3515">
        <f>VLOOKUP(315,Requirements!A2:B2967,2,FALSE)</f>
        <v/>
      </c>
    </row>
    <row r="3516">
      <c r="A3516" t="inlineStr">
        <is>
          <t xml:space="preserve">thing </t>
        </is>
      </c>
      <c r="B3516">
        <f>VLOOKUP(344,Requirements!A2:B2967,2,FALSE)</f>
        <v/>
      </c>
    </row>
    <row r="3517">
      <c r="A3517" t="inlineStr">
        <is>
          <t xml:space="preserve">thing </t>
        </is>
      </c>
      <c r="B3517">
        <f>VLOOKUP(391,Requirements!A2:B2967,2,FALSE)</f>
        <v/>
      </c>
    </row>
    <row r="3518">
      <c r="A3518" t="inlineStr">
        <is>
          <t xml:space="preserve">thing </t>
        </is>
      </c>
      <c r="B3518">
        <f>VLOOKUP(424,Requirements!A2:B2967,2,FALSE)</f>
        <v/>
      </c>
    </row>
    <row r="3519">
      <c r="A3519" t="inlineStr">
        <is>
          <t xml:space="preserve">thing </t>
        </is>
      </c>
      <c r="B3519">
        <f>VLOOKUP(519,Requirements!A2:B2967,2,FALSE)</f>
        <v/>
      </c>
    </row>
    <row r="3520">
      <c r="A3520" t="inlineStr">
        <is>
          <t xml:space="preserve">thing </t>
        </is>
      </c>
      <c r="B3520">
        <f>VLOOKUP(562,Requirements!A2:B2967,2,FALSE)</f>
        <v/>
      </c>
    </row>
    <row r="3521">
      <c r="A3521" t="inlineStr">
        <is>
          <t xml:space="preserve">thing </t>
        </is>
      </c>
      <c r="B3521">
        <f>VLOOKUP(585,Requirements!A2:B2967,2,FALSE)</f>
        <v/>
      </c>
    </row>
    <row r="3522">
      <c r="A3522" t="inlineStr">
        <is>
          <t xml:space="preserve">thing </t>
        </is>
      </c>
      <c r="B3522">
        <f>VLOOKUP(665,Requirements!A2:B2967,2,FALSE)</f>
        <v/>
      </c>
    </row>
    <row r="3523">
      <c r="A3523" t="inlineStr">
        <is>
          <t xml:space="preserve">thing </t>
        </is>
      </c>
      <c r="B3523">
        <f>VLOOKUP(692,Requirements!A2:B2967,2,FALSE)</f>
        <v/>
      </c>
    </row>
    <row r="3524">
      <c r="A3524" t="inlineStr">
        <is>
          <t xml:space="preserve">thing </t>
        </is>
      </c>
      <c r="B3524">
        <f>VLOOKUP(787,Requirements!A2:B2967,2,FALSE)</f>
        <v/>
      </c>
    </row>
    <row r="3525">
      <c r="A3525" t="inlineStr">
        <is>
          <t xml:space="preserve">thing </t>
        </is>
      </c>
      <c r="B3525">
        <f>VLOOKUP(795,Requirements!A2:B2967,2,FALSE)</f>
        <v/>
      </c>
    </row>
    <row r="3526">
      <c r="A3526" t="inlineStr">
        <is>
          <t xml:space="preserve">thing </t>
        </is>
      </c>
      <c r="B3526">
        <f>VLOOKUP(829,Requirements!A2:B2967,2,FALSE)</f>
        <v/>
      </c>
    </row>
    <row r="3527">
      <c r="A3527" t="inlineStr">
        <is>
          <t xml:space="preserve">thing </t>
        </is>
      </c>
      <c r="B3527">
        <f>VLOOKUP(972,Requirements!A2:B2967,2,FALSE)</f>
        <v/>
      </c>
    </row>
    <row r="3528">
      <c r="A3528" t="inlineStr">
        <is>
          <t xml:space="preserve">thing </t>
        </is>
      </c>
      <c r="B3528">
        <f>VLOOKUP(1006,Requirements!A2:B2967,2,FALSE)</f>
        <v/>
      </c>
    </row>
    <row r="3529">
      <c r="A3529" t="inlineStr">
        <is>
          <t xml:space="preserve">thing </t>
        </is>
      </c>
      <c r="B3529">
        <f>VLOOKUP(1047,Requirements!A2:B2967,2,FALSE)</f>
        <v/>
      </c>
    </row>
    <row r="3530">
      <c r="A3530" t="inlineStr">
        <is>
          <t xml:space="preserve">thing </t>
        </is>
      </c>
      <c r="B3530">
        <f>VLOOKUP(1054,Requirements!A2:B2967,2,FALSE)</f>
        <v/>
      </c>
    </row>
    <row r="3531">
      <c r="A3531" t="inlineStr">
        <is>
          <t xml:space="preserve">thing </t>
        </is>
      </c>
      <c r="B3531">
        <f>VLOOKUP(1059,Requirements!A2:B2967,2,FALSE)</f>
        <v/>
      </c>
    </row>
    <row r="3532">
      <c r="A3532" t="inlineStr">
        <is>
          <t xml:space="preserve">thing </t>
        </is>
      </c>
      <c r="B3532">
        <f>VLOOKUP(1093,Requirements!A2:B2967,2,FALSE)</f>
        <v/>
      </c>
    </row>
    <row r="3533">
      <c r="A3533" t="inlineStr">
        <is>
          <t xml:space="preserve">thing </t>
        </is>
      </c>
      <c r="B3533">
        <f>VLOOKUP(1099,Requirements!A2:B2967,2,FALSE)</f>
        <v/>
      </c>
    </row>
    <row r="3534">
      <c r="A3534" t="inlineStr">
        <is>
          <t xml:space="preserve">thing </t>
        </is>
      </c>
      <c r="B3534">
        <f>VLOOKUP(1169,Requirements!A2:B2967,2,FALSE)</f>
        <v/>
      </c>
    </row>
    <row r="3535">
      <c r="A3535" t="inlineStr">
        <is>
          <t xml:space="preserve">thing </t>
        </is>
      </c>
      <c r="B3535">
        <f>VLOOKUP(1185,Requirements!A2:B2967,2,FALSE)</f>
        <v/>
      </c>
    </row>
    <row r="3536">
      <c r="A3536" t="inlineStr">
        <is>
          <t xml:space="preserve">thing </t>
        </is>
      </c>
      <c r="B3536">
        <f>VLOOKUP(1214,Requirements!A2:B2967,2,FALSE)</f>
        <v/>
      </c>
    </row>
    <row r="3537">
      <c r="A3537" t="inlineStr">
        <is>
          <t xml:space="preserve">thing </t>
        </is>
      </c>
      <c r="B3537">
        <f>VLOOKUP(1227,Requirements!A2:B2967,2,FALSE)</f>
        <v/>
      </c>
    </row>
    <row r="3538">
      <c r="A3538" t="inlineStr">
        <is>
          <t xml:space="preserve">thing </t>
        </is>
      </c>
      <c r="B3538">
        <f>VLOOKUP(1231,Requirements!A2:B2967,2,FALSE)</f>
        <v/>
      </c>
    </row>
    <row r="3539">
      <c r="A3539" t="inlineStr">
        <is>
          <t xml:space="preserve">thing </t>
        </is>
      </c>
      <c r="B3539">
        <f>VLOOKUP(1492,Requirements!A2:B2967,2,FALSE)</f>
        <v/>
      </c>
    </row>
    <row r="3540">
      <c r="A3540" t="inlineStr">
        <is>
          <t xml:space="preserve">thing </t>
        </is>
      </c>
      <c r="B3540">
        <f>VLOOKUP(1517,Requirements!A2:B2967,2,FALSE)</f>
        <v/>
      </c>
    </row>
    <row r="3541">
      <c r="A3541" t="inlineStr">
        <is>
          <t xml:space="preserve">thing </t>
        </is>
      </c>
      <c r="B3541">
        <f>VLOOKUP(1553,Requirements!A2:B2967,2,FALSE)</f>
        <v/>
      </c>
    </row>
    <row r="3542">
      <c r="A3542" t="inlineStr">
        <is>
          <t xml:space="preserve">thing </t>
        </is>
      </c>
      <c r="B3542">
        <f>VLOOKUP(1566,Requirements!A2:B2967,2,FALSE)</f>
        <v/>
      </c>
    </row>
    <row r="3543">
      <c r="A3543" t="inlineStr">
        <is>
          <t xml:space="preserve">thing </t>
        </is>
      </c>
      <c r="B3543">
        <f>VLOOKUP(1597,Requirements!A2:B2967,2,FALSE)</f>
        <v/>
      </c>
    </row>
    <row r="3544">
      <c r="A3544" t="inlineStr">
        <is>
          <t xml:space="preserve">thing </t>
        </is>
      </c>
      <c r="B3544">
        <f>VLOOKUP(1613,Requirements!A2:B2967,2,FALSE)</f>
        <v/>
      </c>
    </row>
    <row r="3545">
      <c r="A3545" t="inlineStr">
        <is>
          <t xml:space="preserve">thing </t>
        </is>
      </c>
      <c r="B3545">
        <f>VLOOKUP(1632,Requirements!A2:B2967,2,FALSE)</f>
        <v/>
      </c>
    </row>
    <row r="3546">
      <c r="A3546" t="inlineStr">
        <is>
          <t xml:space="preserve">thing </t>
        </is>
      </c>
      <c r="B3546">
        <f>VLOOKUP(1650,Requirements!A2:B2967,2,FALSE)</f>
        <v/>
      </c>
    </row>
    <row r="3547">
      <c r="A3547" t="inlineStr">
        <is>
          <t xml:space="preserve">thing </t>
        </is>
      </c>
      <c r="B3547">
        <f>VLOOKUP(1703,Requirements!A2:B2967,2,FALSE)</f>
        <v/>
      </c>
    </row>
    <row r="3548">
      <c r="A3548" t="inlineStr">
        <is>
          <t xml:space="preserve">thing </t>
        </is>
      </c>
      <c r="B3548">
        <f>VLOOKUP(1724,Requirements!A2:B2967,2,FALSE)</f>
        <v/>
      </c>
    </row>
    <row r="3549">
      <c r="A3549" t="inlineStr">
        <is>
          <t xml:space="preserve">thing </t>
        </is>
      </c>
      <c r="B3549">
        <f>VLOOKUP(1784,Requirements!A2:B2967,2,FALSE)</f>
        <v/>
      </c>
    </row>
    <row r="3550">
      <c r="A3550" t="inlineStr">
        <is>
          <t xml:space="preserve">thing </t>
        </is>
      </c>
      <c r="B3550">
        <f>VLOOKUP(1834,Requirements!A2:B2967,2,FALSE)</f>
        <v/>
      </c>
    </row>
    <row r="3551">
      <c r="A3551" t="inlineStr">
        <is>
          <t xml:space="preserve">thing </t>
        </is>
      </c>
      <c r="B3551">
        <f>VLOOKUP(1852,Requirements!A2:B2967,2,FALSE)</f>
        <v/>
      </c>
    </row>
    <row r="3552">
      <c r="A3552" t="inlineStr">
        <is>
          <t xml:space="preserve">thing </t>
        </is>
      </c>
      <c r="B3552">
        <f>VLOOKUP(2117,Requirements!A2:B2967,2,FALSE)</f>
        <v/>
      </c>
    </row>
    <row r="3553">
      <c r="A3553" t="inlineStr">
        <is>
          <t xml:space="preserve">thing </t>
        </is>
      </c>
      <c r="B3553">
        <f>VLOOKUP(2179,Requirements!A2:B2967,2,FALSE)</f>
        <v/>
      </c>
    </row>
    <row r="3554">
      <c r="A3554" t="inlineStr">
        <is>
          <t xml:space="preserve">thing </t>
        </is>
      </c>
      <c r="B3554">
        <f>VLOOKUP(2185,Requirements!A2:B2967,2,FALSE)</f>
        <v/>
      </c>
    </row>
    <row r="3555">
      <c r="A3555" t="inlineStr">
        <is>
          <t xml:space="preserve">thing </t>
        </is>
      </c>
      <c r="B3555">
        <f>VLOOKUP(2218,Requirements!A2:B2967,2,FALSE)</f>
        <v/>
      </c>
    </row>
    <row r="3556">
      <c r="A3556" t="inlineStr">
        <is>
          <t xml:space="preserve">thing </t>
        </is>
      </c>
      <c r="B3556">
        <f>VLOOKUP(2281,Requirements!A2:B2967,2,FALSE)</f>
        <v/>
      </c>
    </row>
    <row r="3557">
      <c r="A3557" t="inlineStr">
        <is>
          <t xml:space="preserve">thing </t>
        </is>
      </c>
      <c r="B3557">
        <f>VLOOKUP(2449,Requirements!A2:B2967,2,FALSE)</f>
        <v/>
      </c>
    </row>
    <row r="3558">
      <c r="A3558" t="inlineStr">
        <is>
          <t xml:space="preserve">thing </t>
        </is>
      </c>
      <c r="B3558">
        <f>VLOOKUP(2495,Requirements!A2:B2967,2,FALSE)</f>
        <v/>
      </c>
    </row>
    <row r="3559">
      <c r="A3559" t="inlineStr">
        <is>
          <t xml:space="preserve">thing </t>
        </is>
      </c>
      <c r="B3559">
        <f>VLOOKUP(2531,Requirements!A2:B2967,2,FALSE)</f>
        <v/>
      </c>
    </row>
    <row r="3560">
      <c r="A3560" t="inlineStr">
        <is>
          <t xml:space="preserve">thing </t>
        </is>
      </c>
      <c r="B3560">
        <f>VLOOKUP(2535,Requirements!A2:B2967,2,FALSE)</f>
        <v/>
      </c>
    </row>
    <row r="3561">
      <c r="A3561" t="inlineStr">
        <is>
          <t xml:space="preserve">thing </t>
        </is>
      </c>
      <c r="B3561">
        <f>VLOOKUP(2547,Requirements!A2:B2967,2,FALSE)</f>
        <v/>
      </c>
    </row>
    <row r="3562">
      <c r="A3562" t="inlineStr">
        <is>
          <t xml:space="preserve">thing </t>
        </is>
      </c>
      <c r="B3562">
        <f>VLOOKUP(2648,Requirements!A2:B2967,2,FALSE)</f>
        <v/>
      </c>
    </row>
    <row r="3563">
      <c r="A3563" t="inlineStr">
        <is>
          <t xml:space="preserve">thing </t>
        </is>
      </c>
      <c r="B3563">
        <f>VLOOKUP(2654,Requirements!A2:B2967,2,FALSE)</f>
        <v/>
      </c>
    </row>
    <row r="3564">
      <c r="A3564" t="inlineStr">
        <is>
          <t xml:space="preserve">thing </t>
        </is>
      </c>
      <c r="B3564">
        <f>VLOOKUP(2681,Requirements!A2:B2967,2,FALSE)</f>
        <v/>
      </c>
    </row>
    <row r="3565">
      <c r="A3565" t="inlineStr">
        <is>
          <t xml:space="preserve">thing </t>
        </is>
      </c>
      <c r="B3565">
        <f>VLOOKUP(2752,Requirements!A2:B2967,2,FALSE)</f>
        <v/>
      </c>
    </row>
    <row r="3566">
      <c r="A3566" t="inlineStr">
        <is>
          <t xml:space="preserve">thing </t>
        </is>
      </c>
      <c r="B3566">
        <f>VLOOKUP(2886,Requirements!A2:B2967,2,FALSE)</f>
        <v/>
      </c>
    </row>
    <row r="3567">
      <c r="A3567" t="inlineStr">
        <is>
          <t xml:space="preserve">thing </t>
        </is>
      </c>
      <c r="B3567">
        <f>VLOOKUP(3112,Requirements!A2:B2967,2,FALSE)</f>
        <v/>
      </c>
    </row>
    <row r="3568">
      <c r="A3568" t="inlineStr">
        <is>
          <t xml:space="preserve">thing </t>
        </is>
      </c>
      <c r="B3568">
        <f>VLOOKUP(3159,Requirements!A2:B2967,2,FALSE)</f>
        <v/>
      </c>
    </row>
    <row r="3569">
      <c r="A3569" t="inlineStr">
        <is>
          <t xml:space="preserve">thing </t>
        </is>
      </c>
      <c r="B3569">
        <f>VLOOKUP(3234,Requirements!A2:B2967,2,FALSE)</f>
        <v/>
      </c>
    </row>
    <row r="3570">
      <c r="A3570" t="inlineStr">
        <is>
          <t xml:space="preserve">thing </t>
        </is>
      </c>
      <c r="B3570">
        <f>VLOOKUP(3239,Requirements!A2:B2967,2,FALSE)</f>
        <v/>
      </c>
    </row>
    <row r="3571">
      <c r="A3571" t="inlineStr">
        <is>
          <t xml:space="preserve">thing </t>
        </is>
      </c>
      <c r="B3571">
        <f>VLOOKUP(3262,Requirements!A2:B2967,2,FALSE)</f>
        <v/>
      </c>
    </row>
    <row r="3572">
      <c r="A3572" t="inlineStr">
        <is>
          <t xml:space="preserve">food </t>
        </is>
      </c>
      <c r="B3572">
        <f>VLOOKUP(22,Requirements!A2:B2967,2,FALSE)</f>
        <v/>
      </c>
    </row>
    <row r="3573">
      <c r="A3573" t="inlineStr">
        <is>
          <t xml:space="preserve">food </t>
        </is>
      </c>
      <c r="B3573">
        <f>VLOOKUP(58,Requirements!A2:B2967,2,FALSE)</f>
        <v/>
      </c>
    </row>
    <row r="3574">
      <c r="A3574" t="inlineStr">
        <is>
          <t xml:space="preserve">food </t>
        </is>
      </c>
      <c r="B3574">
        <f>VLOOKUP(59,Requirements!A2:B2967,2,FALSE)</f>
        <v/>
      </c>
    </row>
    <row r="3575">
      <c r="A3575" t="inlineStr">
        <is>
          <t xml:space="preserve">food </t>
        </is>
      </c>
      <c r="B3575">
        <f>VLOOKUP(73,Requirements!A2:B2967,2,FALSE)</f>
        <v/>
      </c>
    </row>
    <row r="3576">
      <c r="A3576" t="inlineStr">
        <is>
          <t xml:space="preserve">food </t>
        </is>
      </c>
      <c r="B3576">
        <f>VLOOKUP(196,Requirements!A2:B2967,2,FALSE)</f>
        <v/>
      </c>
    </row>
    <row r="3577">
      <c r="A3577" t="inlineStr">
        <is>
          <t xml:space="preserve">food </t>
        </is>
      </c>
      <c r="B3577">
        <f>VLOOKUP(221,Requirements!A2:B2967,2,FALSE)</f>
        <v/>
      </c>
    </row>
    <row r="3578">
      <c r="A3578" t="inlineStr">
        <is>
          <t xml:space="preserve">food </t>
        </is>
      </c>
      <c r="B3578">
        <f>VLOOKUP(273,Requirements!A2:B2967,2,FALSE)</f>
        <v/>
      </c>
    </row>
    <row r="3579">
      <c r="A3579" t="inlineStr">
        <is>
          <t xml:space="preserve">food </t>
        </is>
      </c>
      <c r="B3579">
        <f>VLOOKUP(304,Requirements!A2:B2967,2,FALSE)</f>
        <v/>
      </c>
    </row>
    <row r="3580">
      <c r="A3580" t="inlineStr">
        <is>
          <t xml:space="preserve">food </t>
        </is>
      </c>
      <c r="B3580">
        <f>VLOOKUP(310,Requirements!A2:B2967,2,FALSE)</f>
        <v/>
      </c>
    </row>
    <row r="3581">
      <c r="A3581" t="inlineStr">
        <is>
          <t xml:space="preserve">food </t>
        </is>
      </c>
      <c r="B3581">
        <f>VLOOKUP(318,Requirements!A2:B2967,2,FALSE)</f>
        <v/>
      </c>
    </row>
    <row r="3582">
      <c r="A3582" t="inlineStr">
        <is>
          <t xml:space="preserve">food </t>
        </is>
      </c>
      <c r="B3582">
        <f>VLOOKUP(340,Requirements!A2:B2967,2,FALSE)</f>
        <v/>
      </c>
    </row>
    <row r="3583">
      <c r="A3583" t="inlineStr">
        <is>
          <t xml:space="preserve">food </t>
        </is>
      </c>
      <c r="B3583">
        <f>VLOOKUP(411,Requirements!A2:B2967,2,FALSE)</f>
        <v/>
      </c>
    </row>
    <row r="3584">
      <c r="A3584" t="inlineStr">
        <is>
          <t xml:space="preserve">food </t>
        </is>
      </c>
      <c r="B3584">
        <f>VLOOKUP(472,Requirements!A2:B2967,2,FALSE)</f>
        <v/>
      </c>
    </row>
    <row r="3585">
      <c r="A3585" t="inlineStr">
        <is>
          <t xml:space="preserve">food </t>
        </is>
      </c>
      <c r="B3585">
        <f>VLOOKUP(476,Requirements!A2:B2967,2,FALSE)</f>
        <v/>
      </c>
    </row>
    <row r="3586">
      <c r="A3586" t="inlineStr">
        <is>
          <t xml:space="preserve">food </t>
        </is>
      </c>
      <c r="B3586">
        <f>VLOOKUP(501,Requirements!A2:B2967,2,FALSE)</f>
        <v/>
      </c>
    </row>
    <row r="3587">
      <c r="A3587" t="inlineStr">
        <is>
          <t xml:space="preserve">food </t>
        </is>
      </c>
      <c r="B3587">
        <f>VLOOKUP(573,Requirements!A2:B2967,2,FALSE)</f>
        <v/>
      </c>
    </row>
    <row r="3588">
      <c r="A3588" t="inlineStr">
        <is>
          <t xml:space="preserve">food </t>
        </is>
      </c>
      <c r="B3588">
        <f>VLOOKUP(578,Requirements!A2:B2967,2,FALSE)</f>
        <v/>
      </c>
    </row>
    <row r="3589">
      <c r="A3589" t="inlineStr">
        <is>
          <t xml:space="preserve">food </t>
        </is>
      </c>
      <c r="B3589">
        <f>VLOOKUP(643,Requirements!A2:B2967,2,FALSE)</f>
        <v/>
      </c>
    </row>
    <row r="3590">
      <c r="A3590" t="inlineStr">
        <is>
          <t xml:space="preserve">food </t>
        </is>
      </c>
      <c r="B3590">
        <f>VLOOKUP(663,Requirements!A2:B2967,2,FALSE)</f>
        <v/>
      </c>
    </row>
    <row r="3591">
      <c r="A3591" t="inlineStr">
        <is>
          <t xml:space="preserve">food </t>
        </is>
      </c>
      <c r="B3591">
        <f>VLOOKUP(665,Requirements!A2:B2967,2,FALSE)</f>
        <v/>
      </c>
    </row>
    <row r="3592">
      <c r="A3592" t="inlineStr">
        <is>
          <t xml:space="preserve">food </t>
        </is>
      </c>
      <c r="B3592">
        <f>VLOOKUP(672,Requirements!A2:B2967,2,FALSE)</f>
        <v/>
      </c>
    </row>
    <row r="3593">
      <c r="A3593" t="inlineStr">
        <is>
          <t xml:space="preserve">food </t>
        </is>
      </c>
      <c r="B3593">
        <f>VLOOKUP(700,Requirements!A2:B2967,2,FALSE)</f>
        <v/>
      </c>
    </row>
    <row r="3594">
      <c r="A3594" t="inlineStr">
        <is>
          <t xml:space="preserve">food </t>
        </is>
      </c>
      <c r="B3594">
        <f>VLOOKUP(755,Requirements!A2:B2967,2,FALSE)</f>
        <v/>
      </c>
    </row>
    <row r="3595">
      <c r="A3595" t="inlineStr">
        <is>
          <t xml:space="preserve">food </t>
        </is>
      </c>
      <c r="B3595">
        <f>VLOOKUP(757,Requirements!A2:B2967,2,FALSE)</f>
        <v/>
      </c>
    </row>
    <row r="3596">
      <c r="A3596" t="inlineStr">
        <is>
          <t xml:space="preserve">food </t>
        </is>
      </c>
      <c r="B3596">
        <f>VLOOKUP(760,Requirements!A2:B2967,2,FALSE)</f>
        <v/>
      </c>
    </row>
    <row r="3597">
      <c r="A3597" t="inlineStr">
        <is>
          <t xml:space="preserve">food </t>
        </is>
      </c>
      <c r="B3597">
        <f>VLOOKUP(791,Requirements!A2:B2967,2,FALSE)</f>
        <v/>
      </c>
    </row>
    <row r="3598">
      <c r="A3598" t="inlineStr">
        <is>
          <t xml:space="preserve">food </t>
        </is>
      </c>
      <c r="B3598">
        <f>VLOOKUP(792,Requirements!A2:B2967,2,FALSE)</f>
        <v/>
      </c>
    </row>
    <row r="3599">
      <c r="A3599" t="inlineStr">
        <is>
          <t xml:space="preserve">food </t>
        </is>
      </c>
      <c r="B3599">
        <f>VLOOKUP(818,Requirements!A2:B2967,2,FALSE)</f>
        <v/>
      </c>
    </row>
    <row r="3600">
      <c r="A3600" t="inlineStr">
        <is>
          <t xml:space="preserve">food </t>
        </is>
      </c>
      <c r="B3600">
        <f>VLOOKUP(882,Requirements!A2:B2967,2,FALSE)</f>
        <v/>
      </c>
    </row>
    <row r="3601">
      <c r="A3601" t="inlineStr">
        <is>
          <t xml:space="preserve">food </t>
        </is>
      </c>
      <c r="B3601">
        <f>VLOOKUP(892,Requirements!A2:B2967,2,FALSE)</f>
        <v/>
      </c>
    </row>
    <row r="3602">
      <c r="A3602" t="inlineStr">
        <is>
          <t xml:space="preserve">food </t>
        </is>
      </c>
      <c r="B3602">
        <f>VLOOKUP(909,Requirements!A2:B2967,2,FALSE)</f>
        <v/>
      </c>
    </row>
    <row r="3603">
      <c r="A3603" t="inlineStr">
        <is>
          <t xml:space="preserve">food </t>
        </is>
      </c>
      <c r="B3603">
        <f>VLOOKUP(913,Requirements!A2:B2967,2,FALSE)</f>
        <v/>
      </c>
    </row>
    <row r="3604">
      <c r="A3604" t="inlineStr">
        <is>
          <t xml:space="preserve">food </t>
        </is>
      </c>
      <c r="B3604">
        <f>VLOOKUP(962,Requirements!A2:B2967,2,FALSE)</f>
        <v/>
      </c>
    </row>
    <row r="3605">
      <c r="A3605" t="inlineStr">
        <is>
          <t xml:space="preserve">food </t>
        </is>
      </c>
      <c r="B3605">
        <f>VLOOKUP(966,Requirements!A2:B2967,2,FALSE)</f>
        <v/>
      </c>
    </row>
    <row r="3606">
      <c r="A3606" t="inlineStr">
        <is>
          <t xml:space="preserve">food </t>
        </is>
      </c>
      <c r="B3606">
        <f>VLOOKUP(969,Requirements!A2:B2967,2,FALSE)</f>
        <v/>
      </c>
    </row>
    <row r="3607">
      <c r="A3607" t="inlineStr">
        <is>
          <t xml:space="preserve">food </t>
        </is>
      </c>
      <c r="B3607">
        <f>VLOOKUP(981,Requirements!A2:B2967,2,FALSE)</f>
        <v/>
      </c>
    </row>
    <row r="3608">
      <c r="A3608" t="inlineStr">
        <is>
          <t xml:space="preserve">food </t>
        </is>
      </c>
      <c r="B3608">
        <f>VLOOKUP(1013,Requirements!A2:B2967,2,FALSE)</f>
        <v/>
      </c>
    </row>
    <row r="3609">
      <c r="A3609" t="inlineStr">
        <is>
          <t xml:space="preserve">food </t>
        </is>
      </c>
      <c r="B3609">
        <f>VLOOKUP(1014,Requirements!A2:B2967,2,FALSE)</f>
        <v/>
      </c>
    </row>
    <row r="3610">
      <c r="A3610" t="inlineStr">
        <is>
          <t xml:space="preserve">food </t>
        </is>
      </c>
      <c r="B3610">
        <f>VLOOKUP(1032,Requirements!A2:B2967,2,FALSE)</f>
        <v/>
      </c>
    </row>
    <row r="3611">
      <c r="A3611" t="inlineStr">
        <is>
          <t xml:space="preserve">food </t>
        </is>
      </c>
      <c r="B3611">
        <f>VLOOKUP(1035,Requirements!A2:B2967,2,FALSE)</f>
        <v/>
      </c>
    </row>
    <row r="3612">
      <c r="A3612" t="inlineStr">
        <is>
          <t xml:space="preserve">food </t>
        </is>
      </c>
      <c r="B3612">
        <f>VLOOKUP(1039,Requirements!A2:B2967,2,FALSE)</f>
        <v/>
      </c>
    </row>
    <row r="3613">
      <c r="A3613" t="inlineStr">
        <is>
          <t xml:space="preserve">food </t>
        </is>
      </c>
      <c r="B3613">
        <f>VLOOKUP(1103,Requirements!A2:B2967,2,FALSE)</f>
        <v/>
      </c>
    </row>
    <row r="3614">
      <c r="A3614" t="inlineStr">
        <is>
          <t xml:space="preserve">food </t>
        </is>
      </c>
      <c r="B3614">
        <f>VLOOKUP(1111,Requirements!A2:B2967,2,FALSE)</f>
        <v/>
      </c>
    </row>
    <row r="3615">
      <c r="A3615" t="inlineStr">
        <is>
          <t xml:space="preserve">food </t>
        </is>
      </c>
      <c r="B3615">
        <f>VLOOKUP(1189,Requirements!A2:B2967,2,FALSE)</f>
        <v/>
      </c>
    </row>
    <row r="3616">
      <c r="A3616" t="inlineStr">
        <is>
          <t xml:space="preserve">food </t>
        </is>
      </c>
      <c r="B3616">
        <f>VLOOKUP(1359,Requirements!A2:B2967,2,FALSE)</f>
        <v/>
      </c>
    </row>
    <row r="3617">
      <c r="A3617" t="inlineStr">
        <is>
          <t xml:space="preserve">food </t>
        </is>
      </c>
      <c r="B3617">
        <f>VLOOKUP(1364,Requirements!A2:B2967,2,FALSE)</f>
        <v/>
      </c>
    </row>
    <row r="3618">
      <c r="A3618" t="inlineStr">
        <is>
          <t xml:space="preserve">food </t>
        </is>
      </c>
      <c r="B3618">
        <f>VLOOKUP(1392,Requirements!A2:B2967,2,FALSE)</f>
        <v/>
      </c>
    </row>
    <row r="3619">
      <c r="A3619" t="inlineStr">
        <is>
          <t xml:space="preserve">food </t>
        </is>
      </c>
      <c r="B3619">
        <f>VLOOKUP(1554,Requirements!A2:B2967,2,FALSE)</f>
        <v/>
      </c>
    </row>
    <row r="3620">
      <c r="A3620" t="inlineStr">
        <is>
          <t xml:space="preserve">food </t>
        </is>
      </c>
      <c r="B3620">
        <f>VLOOKUP(1575,Requirements!A2:B2967,2,FALSE)</f>
        <v/>
      </c>
    </row>
    <row r="3621">
      <c r="A3621" t="inlineStr">
        <is>
          <t xml:space="preserve">food </t>
        </is>
      </c>
      <c r="B3621">
        <f>VLOOKUP(1576,Requirements!A2:B2967,2,FALSE)</f>
        <v/>
      </c>
    </row>
    <row r="3622">
      <c r="A3622" t="inlineStr">
        <is>
          <t xml:space="preserve">food </t>
        </is>
      </c>
      <c r="B3622">
        <f>VLOOKUP(1586,Requirements!A2:B2967,2,FALSE)</f>
        <v/>
      </c>
    </row>
    <row r="3623">
      <c r="A3623" t="inlineStr">
        <is>
          <t xml:space="preserve">food </t>
        </is>
      </c>
      <c r="B3623">
        <f>VLOOKUP(1613,Requirements!A2:B2967,2,FALSE)</f>
        <v/>
      </c>
    </row>
    <row r="3624">
      <c r="A3624" t="inlineStr">
        <is>
          <t xml:space="preserve">food </t>
        </is>
      </c>
      <c r="B3624">
        <f>VLOOKUP(1628,Requirements!A2:B2967,2,FALSE)</f>
        <v/>
      </c>
    </row>
    <row r="3625">
      <c r="A3625" t="inlineStr">
        <is>
          <t xml:space="preserve">food </t>
        </is>
      </c>
      <c r="B3625">
        <f>VLOOKUP(1636,Requirements!A2:B2967,2,FALSE)</f>
        <v/>
      </c>
    </row>
    <row r="3626">
      <c r="A3626" t="inlineStr">
        <is>
          <t xml:space="preserve">food </t>
        </is>
      </c>
      <c r="B3626">
        <f>VLOOKUP(1693,Requirements!A2:B2967,2,FALSE)</f>
        <v/>
      </c>
    </row>
    <row r="3627">
      <c r="A3627" t="inlineStr">
        <is>
          <t xml:space="preserve">food </t>
        </is>
      </c>
      <c r="B3627">
        <f>VLOOKUP(1707,Requirements!A2:B2967,2,FALSE)</f>
        <v/>
      </c>
    </row>
    <row r="3628">
      <c r="A3628" t="inlineStr">
        <is>
          <t xml:space="preserve">food </t>
        </is>
      </c>
      <c r="B3628">
        <f>VLOOKUP(1792,Requirements!A2:B2967,2,FALSE)</f>
        <v/>
      </c>
    </row>
    <row r="3629">
      <c r="A3629" t="inlineStr">
        <is>
          <t xml:space="preserve">food </t>
        </is>
      </c>
      <c r="B3629">
        <f>VLOOKUP(1851,Requirements!A2:B2967,2,FALSE)</f>
        <v/>
      </c>
    </row>
    <row r="3630">
      <c r="A3630" t="inlineStr">
        <is>
          <t xml:space="preserve">food </t>
        </is>
      </c>
      <c r="B3630">
        <f>VLOOKUP(1868,Requirements!A2:B2967,2,FALSE)</f>
        <v/>
      </c>
    </row>
    <row r="3631">
      <c r="A3631" t="inlineStr">
        <is>
          <t xml:space="preserve">food </t>
        </is>
      </c>
      <c r="B3631">
        <f>VLOOKUP(1897,Requirements!A2:B2967,2,FALSE)</f>
        <v/>
      </c>
    </row>
    <row r="3632">
      <c r="A3632" t="inlineStr">
        <is>
          <t xml:space="preserve">food </t>
        </is>
      </c>
      <c r="B3632">
        <f>VLOOKUP(2049,Requirements!A2:B2967,2,FALSE)</f>
        <v/>
      </c>
    </row>
    <row r="3633">
      <c r="A3633" t="inlineStr">
        <is>
          <t xml:space="preserve">food </t>
        </is>
      </c>
      <c r="B3633">
        <f>VLOOKUP(2050,Requirements!A2:B2967,2,FALSE)</f>
        <v/>
      </c>
    </row>
    <row r="3634">
      <c r="A3634" t="inlineStr">
        <is>
          <t xml:space="preserve">food </t>
        </is>
      </c>
      <c r="B3634">
        <f>VLOOKUP(2067,Requirements!A2:B2967,2,FALSE)</f>
        <v/>
      </c>
    </row>
    <row r="3635">
      <c r="A3635" t="inlineStr">
        <is>
          <t xml:space="preserve">food </t>
        </is>
      </c>
      <c r="B3635">
        <f>VLOOKUP(2082,Requirements!A2:B2967,2,FALSE)</f>
        <v/>
      </c>
    </row>
    <row r="3636">
      <c r="A3636" t="inlineStr">
        <is>
          <t xml:space="preserve">food </t>
        </is>
      </c>
      <c r="B3636">
        <f>VLOOKUP(2089,Requirements!A2:B2967,2,FALSE)</f>
        <v/>
      </c>
    </row>
    <row r="3637">
      <c r="A3637" t="inlineStr">
        <is>
          <t xml:space="preserve">food </t>
        </is>
      </c>
      <c r="B3637">
        <f>VLOOKUP(2096,Requirements!A2:B2967,2,FALSE)</f>
        <v/>
      </c>
    </row>
    <row r="3638">
      <c r="A3638" t="inlineStr">
        <is>
          <t xml:space="preserve">food </t>
        </is>
      </c>
      <c r="B3638">
        <f>VLOOKUP(2101,Requirements!A2:B2967,2,FALSE)</f>
        <v/>
      </c>
    </row>
    <row r="3639">
      <c r="A3639" t="inlineStr">
        <is>
          <t xml:space="preserve">food </t>
        </is>
      </c>
      <c r="B3639">
        <f>VLOOKUP(2138,Requirements!A2:B2967,2,FALSE)</f>
        <v/>
      </c>
    </row>
    <row r="3640">
      <c r="A3640" t="inlineStr">
        <is>
          <t xml:space="preserve">food </t>
        </is>
      </c>
      <c r="B3640">
        <f>VLOOKUP(2218,Requirements!A2:B2967,2,FALSE)</f>
        <v/>
      </c>
    </row>
    <row r="3641">
      <c r="A3641" t="inlineStr">
        <is>
          <t xml:space="preserve">food </t>
        </is>
      </c>
      <c r="B3641">
        <f>VLOOKUP(2226,Requirements!A2:B2967,2,FALSE)</f>
        <v/>
      </c>
    </row>
    <row r="3642">
      <c r="A3642" t="inlineStr">
        <is>
          <t xml:space="preserve">food </t>
        </is>
      </c>
      <c r="B3642">
        <f>VLOOKUP(2239,Requirements!A2:B2967,2,FALSE)</f>
        <v/>
      </c>
    </row>
    <row r="3643">
      <c r="A3643" t="inlineStr">
        <is>
          <t xml:space="preserve">food </t>
        </is>
      </c>
      <c r="B3643">
        <f>VLOOKUP(2287,Requirements!A2:B2967,2,FALSE)</f>
        <v/>
      </c>
    </row>
    <row r="3644">
      <c r="A3644" t="inlineStr">
        <is>
          <t xml:space="preserve">food </t>
        </is>
      </c>
      <c r="B3644">
        <f>VLOOKUP(2301,Requirements!A2:B2967,2,FALSE)</f>
        <v/>
      </c>
    </row>
    <row r="3645">
      <c r="A3645" t="inlineStr">
        <is>
          <t xml:space="preserve">food </t>
        </is>
      </c>
      <c r="B3645">
        <f>VLOOKUP(2303,Requirements!A2:B2967,2,FALSE)</f>
        <v/>
      </c>
    </row>
    <row r="3646">
      <c r="A3646" t="inlineStr">
        <is>
          <t xml:space="preserve">food </t>
        </is>
      </c>
      <c r="B3646">
        <f>VLOOKUP(2316,Requirements!A2:B2967,2,FALSE)</f>
        <v/>
      </c>
    </row>
    <row r="3647">
      <c r="A3647" t="inlineStr">
        <is>
          <t xml:space="preserve">food </t>
        </is>
      </c>
      <c r="B3647">
        <f>VLOOKUP(2349,Requirements!A2:B2967,2,FALSE)</f>
        <v/>
      </c>
    </row>
    <row r="3648">
      <c r="A3648" t="inlineStr">
        <is>
          <t xml:space="preserve">food </t>
        </is>
      </c>
      <c r="B3648">
        <f>VLOOKUP(2359,Requirements!A2:B2967,2,FALSE)</f>
        <v/>
      </c>
    </row>
    <row r="3649">
      <c r="A3649" t="inlineStr">
        <is>
          <t xml:space="preserve">food </t>
        </is>
      </c>
      <c r="B3649">
        <f>VLOOKUP(2386,Requirements!A2:B2967,2,FALSE)</f>
        <v/>
      </c>
    </row>
    <row r="3650">
      <c r="A3650" t="inlineStr">
        <is>
          <t xml:space="preserve">food </t>
        </is>
      </c>
      <c r="B3650">
        <f>VLOOKUP(2457,Requirements!A2:B2967,2,FALSE)</f>
        <v/>
      </c>
    </row>
    <row r="3651">
      <c r="A3651" t="inlineStr">
        <is>
          <t xml:space="preserve">food </t>
        </is>
      </c>
      <c r="B3651">
        <f>VLOOKUP(2469,Requirements!A2:B2967,2,FALSE)</f>
        <v/>
      </c>
    </row>
    <row r="3652">
      <c r="A3652" t="inlineStr">
        <is>
          <t xml:space="preserve">food </t>
        </is>
      </c>
      <c r="B3652">
        <f>VLOOKUP(2511,Requirements!A2:B2967,2,FALSE)</f>
        <v/>
      </c>
    </row>
    <row r="3653">
      <c r="A3653" t="inlineStr">
        <is>
          <t xml:space="preserve">food </t>
        </is>
      </c>
      <c r="B3653">
        <f>VLOOKUP(2519,Requirements!A2:B2967,2,FALSE)</f>
        <v/>
      </c>
    </row>
    <row r="3654">
      <c r="A3654" t="inlineStr">
        <is>
          <t xml:space="preserve">food </t>
        </is>
      </c>
      <c r="B3654">
        <f>VLOOKUP(2533,Requirements!A2:B2967,2,FALSE)</f>
        <v/>
      </c>
    </row>
    <row r="3655">
      <c r="A3655" t="inlineStr">
        <is>
          <t xml:space="preserve">food </t>
        </is>
      </c>
      <c r="B3655">
        <f>VLOOKUP(2596,Requirements!A2:B2967,2,FALSE)</f>
        <v/>
      </c>
    </row>
    <row r="3656">
      <c r="A3656" t="inlineStr">
        <is>
          <t xml:space="preserve">food </t>
        </is>
      </c>
      <c r="B3656">
        <f>VLOOKUP(2646,Requirements!A2:B2967,2,FALSE)</f>
        <v/>
      </c>
    </row>
    <row r="3657">
      <c r="A3657" t="inlineStr">
        <is>
          <t xml:space="preserve">food </t>
        </is>
      </c>
      <c r="B3657">
        <f>VLOOKUP(2651,Requirements!A2:B2967,2,FALSE)</f>
        <v/>
      </c>
    </row>
    <row r="3658">
      <c r="A3658" t="inlineStr">
        <is>
          <t xml:space="preserve">food </t>
        </is>
      </c>
      <c r="B3658">
        <f>VLOOKUP(2654,Requirements!A2:B2967,2,FALSE)</f>
        <v/>
      </c>
    </row>
    <row r="3659">
      <c r="A3659" t="inlineStr">
        <is>
          <t xml:space="preserve">food </t>
        </is>
      </c>
      <c r="B3659">
        <f>VLOOKUP(2664,Requirements!A2:B2967,2,FALSE)</f>
        <v/>
      </c>
    </row>
    <row r="3660">
      <c r="A3660" t="inlineStr">
        <is>
          <t xml:space="preserve">food </t>
        </is>
      </c>
      <c r="B3660">
        <f>VLOOKUP(2670,Requirements!A2:B2967,2,FALSE)</f>
        <v/>
      </c>
    </row>
    <row r="3661">
      <c r="A3661" t="inlineStr">
        <is>
          <t xml:space="preserve">food </t>
        </is>
      </c>
      <c r="B3661">
        <f>VLOOKUP(2698,Requirements!A2:B2967,2,FALSE)</f>
        <v/>
      </c>
    </row>
    <row r="3662">
      <c r="A3662" t="inlineStr">
        <is>
          <t xml:space="preserve">food </t>
        </is>
      </c>
      <c r="B3662">
        <f>VLOOKUP(2715,Requirements!A2:B2967,2,FALSE)</f>
        <v/>
      </c>
    </row>
    <row r="3663">
      <c r="A3663" t="inlineStr">
        <is>
          <t xml:space="preserve">food </t>
        </is>
      </c>
      <c r="B3663">
        <f>VLOOKUP(2735,Requirements!A2:B2967,2,FALSE)</f>
        <v/>
      </c>
    </row>
    <row r="3664">
      <c r="A3664" t="inlineStr">
        <is>
          <t xml:space="preserve">food </t>
        </is>
      </c>
      <c r="B3664">
        <f>VLOOKUP(2749,Requirements!A2:B2967,2,FALSE)</f>
        <v/>
      </c>
    </row>
    <row r="3665">
      <c r="A3665" t="inlineStr">
        <is>
          <t xml:space="preserve">food </t>
        </is>
      </c>
      <c r="B3665">
        <f>VLOOKUP(2759,Requirements!A2:B2967,2,FALSE)</f>
        <v/>
      </c>
    </row>
    <row r="3666">
      <c r="A3666" t="inlineStr">
        <is>
          <t xml:space="preserve">food </t>
        </is>
      </c>
      <c r="B3666">
        <f>VLOOKUP(2772,Requirements!A2:B2967,2,FALSE)</f>
        <v/>
      </c>
    </row>
    <row r="3667">
      <c r="A3667" t="inlineStr">
        <is>
          <t xml:space="preserve">food </t>
        </is>
      </c>
      <c r="B3667">
        <f>VLOOKUP(2787,Requirements!A2:B2967,2,FALSE)</f>
        <v/>
      </c>
    </row>
    <row r="3668">
      <c r="A3668" t="inlineStr">
        <is>
          <t xml:space="preserve">food </t>
        </is>
      </c>
      <c r="B3668">
        <f>VLOOKUP(2802,Requirements!A2:B2967,2,FALSE)</f>
        <v/>
      </c>
    </row>
    <row r="3669">
      <c r="A3669" t="inlineStr">
        <is>
          <t xml:space="preserve">food </t>
        </is>
      </c>
      <c r="B3669">
        <f>VLOOKUP(2803,Requirements!A2:B2967,2,FALSE)</f>
        <v/>
      </c>
    </row>
    <row r="3670">
      <c r="A3670" t="inlineStr">
        <is>
          <t xml:space="preserve">food </t>
        </is>
      </c>
      <c r="B3670">
        <f>VLOOKUP(2804,Requirements!A2:B2967,2,FALSE)</f>
        <v/>
      </c>
    </row>
    <row r="3671">
      <c r="A3671" t="inlineStr">
        <is>
          <t xml:space="preserve">food </t>
        </is>
      </c>
      <c r="B3671">
        <f>VLOOKUP(2830,Requirements!A2:B2967,2,FALSE)</f>
        <v/>
      </c>
    </row>
    <row r="3672">
      <c r="A3672" t="inlineStr">
        <is>
          <t xml:space="preserve">food </t>
        </is>
      </c>
      <c r="B3672">
        <f>VLOOKUP(2916,Requirements!A2:B2967,2,FALSE)</f>
        <v/>
      </c>
    </row>
    <row r="3673">
      <c r="A3673" t="inlineStr">
        <is>
          <t xml:space="preserve">food </t>
        </is>
      </c>
      <c r="B3673">
        <f>VLOOKUP(3015,Requirements!A2:B2967,2,FALSE)</f>
        <v/>
      </c>
    </row>
    <row r="3674">
      <c r="A3674" t="inlineStr">
        <is>
          <t xml:space="preserve">food </t>
        </is>
      </c>
      <c r="B3674">
        <f>VLOOKUP(3067,Requirements!A2:B2967,2,FALSE)</f>
        <v/>
      </c>
    </row>
    <row r="3675">
      <c r="A3675" t="inlineStr">
        <is>
          <t xml:space="preserve">food </t>
        </is>
      </c>
      <c r="B3675">
        <f>VLOOKUP(3098,Requirements!A2:B2967,2,FALSE)</f>
        <v/>
      </c>
    </row>
    <row r="3676">
      <c r="A3676" t="inlineStr">
        <is>
          <t xml:space="preserve">food </t>
        </is>
      </c>
      <c r="B3676">
        <f>VLOOKUP(3139,Requirements!A2:B2967,2,FALSE)</f>
        <v/>
      </c>
    </row>
    <row r="3677">
      <c r="A3677" t="inlineStr">
        <is>
          <t xml:space="preserve">food </t>
        </is>
      </c>
      <c r="B3677">
        <f>VLOOKUP(3158,Requirements!A2:B2967,2,FALSE)</f>
        <v/>
      </c>
    </row>
    <row r="3678">
      <c r="A3678" t="inlineStr">
        <is>
          <t xml:space="preserve">food </t>
        </is>
      </c>
      <c r="B3678">
        <f>VLOOKUP(3217,Requirements!A2:B2967,2,FALSE)</f>
        <v/>
      </c>
    </row>
    <row r="3679">
      <c r="A3679" t="inlineStr">
        <is>
          <t xml:space="preserve">food </t>
        </is>
      </c>
      <c r="B3679">
        <f>VLOOKUP(3269,Requirements!A2:B2967,2,FALSE)</f>
        <v/>
      </c>
    </row>
    <row r="3680">
      <c r="A3680" t="inlineStr">
        <is>
          <t xml:space="preserve">tv </t>
        </is>
      </c>
      <c r="B3680">
        <f>VLOOKUP(23,Requirements!A2:B2967,2,FALSE)</f>
        <v/>
      </c>
    </row>
    <row r="3681">
      <c r="A3681" t="inlineStr">
        <is>
          <t xml:space="preserve">tv </t>
        </is>
      </c>
      <c r="B3681">
        <f>VLOOKUP(151,Requirements!A2:B2967,2,FALSE)</f>
        <v/>
      </c>
    </row>
    <row r="3682">
      <c r="A3682" t="inlineStr">
        <is>
          <t xml:space="preserve">tv </t>
        </is>
      </c>
      <c r="B3682">
        <f>VLOOKUP(210,Requirements!A2:B2967,2,FALSE)</f>
        <v/>
      </c>
    </row>
    <row r="3683">
      <c r="A3683" t="inlineStr">
        <is>
          <t xml:space="preserve">tv </t>
        </is>
      </c>
      <c r="B3683">
        <f>VLOOKUP(276,Requirements!A2:B2967,2,FALSE)</f>
        <v/>
      </c>
    </row>
    <row r="3684">
      <c r="A3684" t="inlineStr">
        <is>
          <t xml:space="preserve">tv </t>
        </is>
      </c>
      <c r="B3684">
        <f>VLOOKUP(420,Requirements!A2:B2967,2,FALSE)</f>
        <v/>
      </c>
    </row>
    <row r="3685">
      <c r="A3685" t="inlineStr">
        <is>
          <t xml:space="preserve">tv </t>
        </is>
      </c>
      <c r="B3685">
        <f>VLOOKUP(426,Requirements!A2:B2967,2,FALSE)</f>
        <v/>
      </c>
    </row>
    <row r="3686">
      <c r="A3686" t="inlineStr">
        <is>
          <t xml:space="preserve">tv </t>
        </is>
      </c>
      <c r="B3686">
        <f>VLOOKUP(551,Requirements!A2:B2967,2,FALSE)</f>
        <v/>
      </c>
    </row>
    <row r="3687">
      <c r="A3687" t="inlineStr">
        <is>
          <t xml:space="preserve">tv </t>
        </is>
      </c>
      <c r="B3687">
        <f>VLOOKUP(641,Requirements!A2:B2967,2,FALSE)</f>
        <v/>
      </c>
    </row>
    <row r="3688">
      <c r="A3688" t="inlineStr">
        <is>
          <t xml:space="preserve">tv </t>
        </is>
      </c>
      <c r="B3688">
        <f>VLOOKUP(708,Requirements!A2:B2967,2,FALSE)</f>
        <v/>
      </c>
    </row>
    <row r="3689">
      <c r="A3689" t="inlineStr">
        <is>
          <t xml:space="preserve">tv </t>
        </is>
      </c>
      <c r="B3689">
        <f>VLOOKUP(724,Requirements!A2:B2967,2,FALSE)</f>
        <v/>
      </c>
    </row>
    <row r="3690">
      <c r="A3690" t="inlineStr">
        <is>
          <t xml:space="preserve">tv </t>
        </is>
      </c>
      <c r="B3690">
        <f>VLOOKUP(933,Requirements!A2:B2967,2,FALSE)</f>
        <v/>
      </c>
    </row>
    <row r="3691">
      <c r="A3691" t="inlineStr">
        <is>
          <t xml:space="preserve">tv </t>
        </is>
      </c>
      <c r="B3691">
        <f>VLOOKUP(971,Requirements!A2:B2967,2,FALSE)</f>
        <v/>
      </c>
    </row>
    <row r="3692">
      <c r="A3692" t="inlineStr">
        <is>
          <t xml:space="preserve">tv </t>
        </is>
      </c>
      <c r="B3692">
        <f>VLOOKUP(1130,Requirements!A2:B2967,2,FALSE)</f>
        <v/>
      </c>
    </row>
    <row r="3693">
      <c r="A3693" t="inlineStr">
        <is>
          <t xml:space="preserve">tv </t>
        </is>
      </c>
      <c r="B3693">
        <f>VLOOKUP(1193,Requirements!A2:B2967,2,FALSE)</f>
        <v/>
      </c>
    </row>
    <row r="3694">
      <c r="A3694" t="inlineStr">
        <is>
          <t xml:space="preserve">tv </t>
        </is>
      </c>
      <c r="B3694">
        <f>VLOOKUP(1197,Requirements!A2:B2967,2,FALSE)</f>
        <v/>
      </c>
    </row>
    <row r="3695">
      <c r="A3695" t="inlineStr">
        <is>
          <t xml:space="preserve">tv </t>
        </is>
      </c>
      <c r="B3695">
        <f>VLOOKUP(1311,Requirements!A2:B2967,2,FALSE)</f>
        <v/>
      </c>
    </row>
    <row r="3696">
      <c r="A3696" t="inlineStr">
        <is>
          <t xml:space="preserve">tv </t>
        </is>
      </c>
      <c r="B3696">
        <f>VLOOKUP(1448,Requirements!A2:B2967,2,FALSE)</f>
        <v/>
      </c>
    </row>
    <row r="3697">
      <c r="A3697" t="inlineStr">
        <is>
          <t xml:space="preserve">tv </t>
        </is>
      </c>
      <c r="B3697">
        <f>VLOOKUP(1451,Requirements!A2:B2967,2,FALSE)</f>
        <v/>
      </c>
    </row>
    <row r="3698">
      <c r="A3698" t="inlineStr">
        <is>
          <t xml:space="preserve">tv </t>
        </is>
      </c>
      <c r="B3698">
        <f>VLOOKUP(1484,Requirements!A2:B2967,2,FALSE)</f>
        <v/>
      </c>
    </row>
    <row r="3699">
      <c r="A3699" t="inlineStr">
        <is>
          <t xml:space="preserve">tv </t>
        </is>
      </c>
      <c r="B3699">
        <f>VLOOKUP(1574,Requirements!A2:B2967,2,FALSE)</f>
        <v/>
      </c>
    </row>
    <row r="3700">
      <c r="A3700" t="inlineStr">
        <is>
          <t xml:space="preserve">tv </t>
        </is>
      </c>
      <c r="B3700">
        <f>VLOOKUP(1580,Requirements!A2:B2967,2,FALSE)</f>
        <v/>
      </c>
    </row>
    <row r="3701">
      <c r="A3701" t="inlineStr">
        <is>
          <t xml:space="preserve">tv </t>
        </is>
      </c>
      <c r="B3701">
        <f>VLOOKUP(1642,Requirements!A2:B2967,2,FALSE)</f>
        <v/>
      </c>
    </row>
    <row r="3702">
      <c r="A3702" t="inlineStr">
        <is>
          <t xml:space="preserve">tv </t>
        </is>
      </c>
      <c r="B3702">
        <f>VLOOKUP(1901,Requirements!A2:B2967,2,FALSE)</f>
        <v/>
      </c>
    </row>
    <row r="3703">
      <c r="A3703" t="inlineStr">
        <is>
          <t xml:space="preserve">tv </t>
        </is>
      </c>
      <c r="B3703">
        <f>VLOOKUP(2185,Requirements!A2:B2967,2,FALSE)</f>
        <v/>
      </c>
    </row>
    <row r="3704">
      <c r="A3704" t="inlineStr">
        <is>
          <t xml:space="preserve">tv </t>
        </is>
      </c>
      <c r="B3704">
        <f>VLOOKUP(2275,Requirements!A2:B2967,2,FALSE)</f>
        <v/>
      </c>
    </row>
    <row r="3705">
      <c r="A3705" t="inlineStr">
        <is>
          <t xml:space="preserve">tv </t>
        </is>
      </c>
      <c r="B3705">
        <f>VLOOKUP(2487,Requirements!A2:B2967,2,FALSE)</f>
        <v/>
      </c>
    </row>
    <row r="3706">
      <c r="A3706" t="inlineStr">
        <is>
          <t xml:space="preserve">tv </t>
        </is>
      </c>
      <c r="B3706">
        <f>VLOOKUP(2494,Requirements!A2:B2967,2,FALSE)</f>
        <v/>
      </c>
    </row>
    <row r="3707">
      <c r="A3707" t="inlineStr">
        <is>
          <t xml:space="preserve">tv </t>
        </is>
      </c>
      <c r="B3707">
        <f>VLOOKUP(2528,Requirements!A2:B2967,2,FALSE)</f>
        <v/>
      </c>
    </row>
    <row r="3708">
      <c r="A3708" t="inlineStr">
        <is>
          <t xml:space="preserve">tv </t>
        </is>
      </c>
      <c r="B3708">
        <f>VLOOKUP(2637,Requirements!A2:B2967,2,FALSE)</f>
        <v/>
      </c>
    </row>
    <row r="3709">
      <c r="A3709" t="inlineStr">
        <is>
          <t xml:space="preserve">tv </t>
        </is>
      </c>
      <c r="B3709">
        <f>VLOOKUP(2690,Requirements!A2:B2967,2,FALSE)</f>
        <v/>
      </c>
    </row>
    <row r="3710">
      <c r="A3710" t="inlineStr">
        <is>
          <t xml:space="preserve">tv </t>
        </is>
      </c>
      <c r="B3710">
        <f>VLOOKUP(2699,Requirements!A2:B2967,2,FALSE)</f>
        <v/>
      </c>
    </row>
    <row r="3711">
      <c r="A3711" t="inlineStr">
        <is>
          <t xml:space="preserve">tv </t>
        </is>
      </c>
      <c r="B3711">
        <f>VLOOKUP(2716,Requirements!A2:B2967,2,FALSE)</f>
        <v/>
      </c>
    </row>
    <row r="3712">
      <c r="A3712" t="inlineStr">
        <is>
          <t xml:space="preserve">tv </t>
        </is>
      </c>
      <c r="B3712">
        <f>VLOOKUP(3212,Requirements!A2:B2967,2,FALSE)</f>
        <v/>
      </c>
    </row>
    <row r="3713">
      <c r="A3713" t="inlineStr">
        <is>
          <t xml:space="preserve">tv </t>
        </is>
      </c>
      <c r="B3713">
        <f>VLOOKUP(3236,Requirements!A2:B2967,2,FALSE)</f>
        <v/>
      </c>
    </row>
    <row r="3714">
      <c r="A3714" t="inlineStr">
        <is>
          <t xml:space="preserve">tv </t>
        </is>
      </c>
      <c r="B3714">
        <f>VLOOKUP(3250,Requirements!A2:B2967,2,FALSE)</f>
        <v/>
      </c>
    </row>
    <row r="3715">
      <c r="A3715" t="inlineStr">
        <is>
          <t xml:space="preserve">morning </t>
        </is>
      </c>
      <c r="B3715">
        <f>VLOOKUP(25,Requirements!A2:B2967,2,FALSE)</f>
        <v/>
      </c>
    </row>
    <row r="3716">
      <c r="A3716" t="inlineStr">
        <is>
          <t xml:space="preserve">morning </t>
        </is>
      </c>
      <c r="B3716">
        <f>VLOOKUP(93,Requirements!A2:B2967,2,FALSE)</f>
        <v/>
      </c>
    </row>
    <row r="3717">
      <c r="A3717" t="inlineStr">
        <is>
          <t xml:space="preserve">morning </t>
        </is>
      </c>
      <c r="B3717">
        <f>VLOOKUP(193,Requirements!A2:B2967,2,FALSE)</f>
        <v/>
      </c>
    </row>
    <row r="3718">
      <c r="A3718" t="inlineStr">
        <is>
          <t xml:space="preserve">morning </t>
        </is>
      </c>
      <c r="B3718">
        <f>VLOOKUP(280,Requirements!A2:B2967,2,FALSE)</f>
        <v/>
      </c>
    </row>
    <row r="3719">
      <c r="A3719" t="inlineStr">
        <is>
          <t xml:space="preserve">morning </t>
        </is>
      </c>
      <c r="B3719">
        <f>VLOOKUP(287,Requirements!A2:B2967,2,FALSE)</f>
        <v/>
      </c>
    </row>
    <row r="3720">
      <c r="A3720" t="inlineStr">
        <is>
          <t xml:space="preserve">morning </t>
        </is>
      </c>
      <c r="B3720">
        <f>VLOOKUP(455,Requirements!A2:B2967,2,FALSE)</f>
        <v/>
      </c>
    </row>
    <row r="3721">
      <c r="A3721" t="inlineStr">
        <is>
          <t xml:space="preserve">morning </t>
        </is>
      </c>
      <c r="B3721">
        <f>VLOOKUP(529,Requirements!A2:B2967,2,FALSE)</f>
        <v/>
      </c>
    </row>
    <row r="3722">
      <c r="A3722" t="inlineStr">
        <is>
          <t xml:space="preserve">morning </t>
        </is>
      </c>
      <c r="B3722">
        <f>VLOOKUP(544,Requirements!A2:B2967,2,FALSE)</f>
        <v/>
      </c>
    </row>
    <row r="3723">
      <c r="A3723" t="inlineStr">
        <is>
          <t xml:space="preserve">morning </t>
        </is>
      </c>
      <c r="B3723">
        <f>VLOOKUP(579,Requirements!A2:B2967,2,FALSE)</f>
        <v/>
      </c>
    </row>
    <row r="3724">
      <c r="A3724" t="inlineStr">
        <is>
          <t xml:space="preserve">morning </t>
        </is>
      </c>
      <c r="B3724">
        <f>VLOOKUP(778,Requirements!A2:B2967,2,FALSE)</f>
        <v/>
      </c>
    </row>
    <row r="3725">
      <c r="A3725" t="inlineStr">
        <is>
          <t xml:space="preserve">morning </t>
        </is>
      </c>
      <c r="B3725">
        <f>VLOOKUP(812,Requirements!A2:B2967,2,FALSE)</f>
        <v/>
      </c>
    </row>
    <row r="3726">
      <c r="A3726" t="inlineStr">
        <is>
          <t xml:space="preserve">morning </t>
        </is>
      </c>
      <c r="B3726">
        <f>VLOOKUP(834,Requirements!A2:B2967,2,FALSE)</f>
        <v/>
      </c>
    </row>
    <row r="3727">
      <c r="A3727" t="inlineStr">
        <is>
          <t xml:space="preserve">morning </t>
        </is>
      </c>
      <c r="B3727">
        <f>VLOOKUP(855,Requirements!A2:B2967,2,FALSE)</f>
        <v/>
      </c>
    </row>
    <row r="3728">
      <c r="A3728" t="inlineStr">
        <is>
          <t xml:space="preserve">morning </t>
        </is>
      </c>
      <c r="B3728">
        <f>VLOOKUP(978,Requirements!A2:B2967,2,FALSE)</f>
        <v/>
      </c>
    </row>
    <row r="3729">
      <c r="A3729" t="inlineStr">
        <is>
          <t xml:space="preserve">morning </t>
        </is>
      </c>
      <c r="B3729">
        <f>VLOOKUP(982,Requirements!A2:B2967,2,FALSE)</f>
        <v/>
      </c>
    </row>
    <row r="3730">
      <c r="A3730" t="inlineStr">
        <is>
          <t xml:space="preserve">morning </t>
        </is>
      </c>
      <c r="B3730">
        <f>VLOOKUP(1003,Requirements!A2:B2967,2,FALSE)</f>
        <v/>
      </c>
    </row>
    <row r="3731">
      <c r="A3731" t="inlineStr">
        <is>
          <t xml:space="preserve">morning </t>
        </is>
      </c>
      <c r="B3731">
        <f>VLOOKUP(1136,Requirements!A2:B2967,2,FALSE)</f>
        <v/>
      </c>
    </row>
    <row r="3732">
      <c r="A3732" t="inlineStr">
        <is>
          <t xml:space="preserve">morning </t>
        </is>
      </c>
      <c r="B3732">
        <f>VLOOKUP(1282,Requirements!A2:B2967,2,FALSE)</f>
        <v/>
      </c>
    </row>
    <row r="3733">
      <c r="A3733" t="inlineStr">
        <is>
          <t xml:space="preserve">morning </t>
        </is>
      </c>
      <c r="B3733">
        <f>VLOOKUP(1294,Requirements!A2:B2967,2,FALSE)</f>
        <v/>
      </c>
    </row>
    <row r="3734">
      <c r="A3734" t="inlineStr">
        <is>
          <t xml:space="preserve">morning </t>
        </is>
      </c>
      <c r="B3734">
        <f>VLOOKUP(1304,Requirements!A2:B2967,2,FALSE)</f>
        <v/>
      </c>
    </row>
    <row r="3735">
      <c r="A3735" t="inlineStr">
        <is>
          <t xml:space="preserve">morning </t>
        </is>
      </c>
      <c r="B3735">
        <f>VLOOKUP(1483,Requirements!A2:B2967,2,FALSE)</f>
        <v/>
      </c>
    </row>
    <row r="3736">
      <c r="A3736" t="inlineStr">
        <is>
          <t xml:space="preserve">morning </t>
        </is>
      </c>
      <c r="B3736">
        <f>VLOOKUP(1600,Requirements!A2:B2967,2,FALSE)</f>
        <v/>
      </c>
    </row>
    <row r="3737">
      <c r="A3737" t="inlineStr">
        <is>
          <t xml:space="preserve">morning </t>
        </is>
      </c>
      <c r="B3737">
        <f>VLOOKUP(1666,Requirements!A2:B2967,2,FALSE)</f>
        <v/>
      </c>
    </row>
    <row r="3738">
      <c r="A3738" t="inlineStr">
        <is>
          <t xml:space="preserve">morning </t>
        </is>
      </c>
      <c r="B3738">
        <f>VLOOKUP(1971,Requirements!A2:B2967,2,FALSE)</f>
        <v/>
      </c>
    </row>
    <row r="3739">
      <c r="A3739" t="inlineStr">
        <is>
          <t xml:space="preserve">morning </t>
        </is>
      </c>
      <c r="B3739">
        <f>VLOOKUP(1974,Requirements!A2:B2967,2,FALSE)</f>
        <v/>
      </c>
    </row>
    <row r="3740">
      <c r="A3740" t="inlineStr">
        <is>
          <t xml:space="preserve">morning </t>
        </is>
      </c>
      <c r="B3740">
        <f>VLOOKUP(1981,Requirements!A2:B2967,2,FALSE)</f>
        <v/>
      </c>
    </row>
    <row r="3741">
      <c r="A3741" t="inlineStr">
        <is>
          <t xml:space="preserve">morning </t>
        </is>
      </c>
      <c r="B3741">
        <f>VLOOKUP(2121,Requirements!A2:B2967,2,FALSE)</f>
        <v/>
      </c>
    </row>
    <row r="3742">
      <c r="A3742" t="inlineStr">
        <is>
          <t xml:space="preserve">morning </t>
        </is>
      </c>
      <c r="B3742">
        <f>VLOOKUP(2158,Requirements!A2:B2967,2,FALSE)</f>
        <v/>
      </c>
    </row>
    <row r="3743">
      <c r="A3743" t="inlineStr">
        <is>
          <t xml:space="preserve">morning </t>
        </is>
      </c>
      <c r="B3743">
        <f>VLOOKUP(2170,Requirements!A2:B2967,2,FALSE)</f>
        <v/>
      </c>
    </row>
    <row r="3744">
      <c r="A3744" t="inlineStr">
        <is>
          <t xml:space="preserve">morning </t>
        </is>
      </c>
      <c r="B3744">
        <f>VLOOKUP(2431,Requirements!A2:B2967,2,FALSE)</f>
        <v/>
      </c>
    </row>
    <row r="3745">
      <c r="A3745" t="inlineStr">
        <is>
          <t xml:space="preserve">morning </t>
        </is>
      </c>
      <c r="B3745">
        <f>VLOOKUP(2559,Requirements!A2:B2967,2,FALSE)</f>
        <v/>
      </c>
    </row>
    <row r="3746">
      <c r="A3746" t="inlineStr">
        <is>
          <t xml:space="preserve">morning </t>
        </is>
      </c>
      <c r="B3746">
        <f>VLOOKUP(2565,Requirements!A2:B2967,2,FALSE)</f>
        <v/>
      </c>
    </row>
    <row r="3747">
      <c r="A3747" t="inlineStr">
        <is>
          <t xml:space="preserve">morning </t>
        </is>
      </c>
      <c r="B3747">
        <f>VLOOKUP(2584,Requirements!A2:B2967,2,FALSE)</f>
        <v/>
      </c>
    </row>
    <row r="3748">
      <c r="A3748" t="inlineStr">
        <is>
          <t xml:space="preserve">morning </t>
        </is>
      </c>
      <c r="B3748">
        <f>VLOOKUP(2681,Requirements!A2:B2967,2,FALSE)</f>
        <v/>
      </c>
    </row>
    <row r="3749">
      <c r="A3749" t="inlineStr">
        <is>
          <t xml:space="preserve">morning </t>
        </is>
      </c>
      <c r="B3749">
        <f>VLOOKUP(2837,Requirements!A2:B2967,2,FALSE)</f>
        <v/>
      </c>
    </row>
    <row r="3750">
      <c r="A3750" t="inlineStr">
        <is>
          <t xml:space="preserve">morning </t>
        </is>
      </c>
      <c r="B3750">
        <f>VLOOKUP(2869,Requirements!A2:B2967,2,FALSE)</f>
        <v/>
      </c>
    </row>
    <row r="3751">
      <c r="A3751" t="inlineStr">
        <is>
          <t xml:space="preserve">morning </t>
        </is>
      </c>
      <c r="B3751">
        <f>VLOOKUP(2925,Requirements!A2:B2967,2,FALSE)</f>
        <v/>
      </c>
    </row>
    <row r="3752">
      <c r="A3752" t="inlineStr">
        <is>
          <t xml:space="preserve">morning </t>
        </is>
      </c>
      <c r="B3752">
        <f>VLOOKUP(2992,Requirements!A2:B2967,2,FALSE)</f>
        <v/>
      </c>
    </row>
    <row r="3753">
      <c r="A3753" t="inlineStr">
        <is>
          <t xml:space="preserve">morning </t>
        </is>
      </c>
      <c r="B3753">
        <f>VLOOKUP(3131,Requirements!A2:B2967,2,FALSE)</f>
        <v/>
      </c>
    </row>
    <row r="3754">
      <c r="A3754" t="inlineStr">
        <is>
          <t xml:space="preserve">morning </t>
        </is>
      </c>
      <c r="B3754">
        <f>VLOOKUP(3224,Requirements!A2:B2967,2,FALSE)</f>
        <v/>
      </c>
    </row>
    <row r="3755">
      <c r="A3755" t="inlineStr">
        <is>
          <t xml:space="preserve">time </t>
        </is>
      </c>
      <c r="B3755">
        <f>VLOOKUP(25,Requirements!A2:B2967,2,FALSE)</f>
        <v/>
      </c>
    </row>
    <row r="3756">
      <c r="A3756" t="inlineStr">
        <is>
          <t xml:space="preserve">time </t>
        </is>
      </c>
      <c r="B3756">
        <f>VLOOKUP(26,Requirements!A2:B2967,2,FALSE)</f>
        <v/>
      </c>
    </row>
    <row r="3757">
      <c r="A3757" t="inlineStr">
        <is>
          <t xml:space="preserve">time </t>
        </is>
      </c>
      <c r="B3757">
        <f>VLOOKUP(39,Requirements!A2:B2967,2,FALSE)</f>
        <v/>
      </c>
    </row>
    <row r="3758">
      <c r="A3758" t="inlineStr">
        <is>
          <t xml:space="preserve">time </t>
        </is>
      </c>
      <c r="B3758">
        <f>VLOOKUP(125,Requirements!A2:B2967,2,FALSE)</f>
        <v/>
      </c>
    </row>
    <row r="3759">
      <c r="A3759" t="inlineStr">
        <is>
          <t xml:space="preserve">time </t>
        </is>
      </c>
      <c r="B3759">
        <f>VLOOKUP(126,Requirements!A2:B2967,2,FALSE)</f>
        <v/>
      </c>
    </row>
    <row r="3760">
      <c r="A3760" t="inlineStr">
        <is>
          <t xml:space="preserve">time </t>
        </is>
      </c>
      <c r="B3760">
        <f>VLOOKUP(137,Requirements!A2:B2967,2,FALSE)</f>
        <v/>
      </c>
    </row>
    <row r="3761">
      <c r="A3761" t="inlineStr">
        <is>
          <t xml:space="preserve">time </t>
        </is>
      </c>
      <c r="B3761">
        <f>VLOOKUP(149,Requirements!A2:B2967,2,FALSE)</f>
        <v/>
      </c>
    </row>
    <row r="3762">
      <c r="A3762" t="inlineStr">
        <is>
          <t xml:space="preserve">time </t>
        </is>
      </c>
      <c r="B3762">
        <f>VLOOKUP(162,Requirements!A2:B2967,2,FALSE)</f>
        <v/>
      </c>
    </row>
    <row r="3763">
      <c r="A3763" t="inlineStr">
        <is>
          <t xml:space="preserve">time </t>
        </is>
      </c>
      <c r="B3763">
        <f>VLOOKUP(171,Requirements!A2:B2967,2,FALSE)</f>
        <v/>
      </c>
    </row>
    <row r="3764">
      <c r="A3764" t="inlineStr">
        <is>
          <t xml:space="preserve">time </t>
        </is>
      </c>
      <c r="B3764">
        <f>VLOOKUP(198,Requirements!A2:B2967,2,FALSE)</f>
        <v/>
      </c>
    </row>
    <row r="3765">
      <c r="A3765" t="inlineStr">
        <is>
          <t xml:space="preserve">time </t>
        </is>
      </c>
      <c r="B3765">
        <f>VLOOKUP(242,Requirements!A2:B2967,2,FALSE)</f>
        <v/>
      </c>
    </row>
    <row r="3766">
      <c r="A3766" t="inlineStr">
        <is>
          <t xml:space="preserve">time </t>
        </is>
      </c>
      <c r="B3766">
        <f>VLOOKUP(249,Requirements!A2:B2967,2,FALSE)</f>
        <v/>
      </c>
    </row>
    <row r="3767">
      <c r="A3767" t="inlineStr">
        <is>
          <t xml:space="preserve">time </t>
        </is>
      </c>
      <c r="B3767">
        <f>VLOOKUP(250,Requirements!A2:B2967,2,FALSE)</f>
        <v/>
      </c>
    </row>
    <row r="3768">
      <c r="A3768" t="inlineStr">
        <is>
          <t xml:space="preserve">time </t>
        </is>
      </c>
      <c r="B3768">
        <f>VLOOKUP(251,Requirements!A2:B2967,2,FALSE)</f>
        <v/>
      </c>
    </row>
    <row r="3769">
      <c r="A3769" t="inlineStr">
        <is>
          <t xml:space="preserve">time </t>
        </is>
      </c>
      <c r="B3769">
        <f>VLOOKUP(253,Requirements!A2:B2967,2,FALSE)</f>
        <v/>
      </c>
    </row>
    <row r="3770">
      <c r="A3770" t="inlineStr">
        <is>
          <t xml:space="preserve">time </t>
        </is>
      </c>
      <c r="B3770">
        <f>VLOOKUP(254,Requirements!A2:B2967,2,FALSE)</f>
        <v/>
      </c>
    </row>
    <row r="3771">
      <c r="A3771" t="inlineStr">
        <is>
          <t xml:space="preserve">time </t>
        </is>
      </c>
      <c r="B3771">
        <f>VLOOKUP(257,Requirements!A2:B2967,2,FALSE)</f>
        <v/>
      </c>
    </row>
    <row r="3772">
      <c r="A3772" t="inlineStr">
        <is>
          <t xml:space="preserve">time </t>
        </is>
      </c>
      <c r="B3772">
        <f>VLOOKUP(267,Requirements!A2:B2967,2,FALSE)</f>
        <v/>
      </c>
    </row>
    <row r="3773">
      <c r="A3773" t="inlineStr">
        <is>
          <t xml:space="preserve">time </t>
        </is>
      </c>
      <c r="B3773">
        <f>VLOOKUP(285,Requirements!A2:B2967,2,FALSE)</f>
        <v/>
      </c>
    </row>
    <row r="3774">
      <c r="A3774" t="inlineStr">
        <is>
          <t xml:space="preserve">time </t>
        </is>
      </c>
      <c r="B3774">
        <f>VLOOKUP(308,Requirements!A2:B2967,2,FALSE)</f>
        <v/>
      </c>
    </row>
    <row r="3775">
      <c r="A3775" t="inlineStr">
        <is>
          <t xml:space="preserve">time </t>
        </is>
      </c>
      <c r="B3775">
        <f>VLOOKUP(319,Requirements!A2:B2967,2,FALSE)</f>
        <v/>
      </c>
    </row>
    <row r="3776">
      <c r="A3776" t="inlineStr">
        <is>
          <t xml:space="preserve">time </t>
        </is>
      </c>
      <c r="B3776">
        <f>VLOOKUP(342,Requirements!A2:B2967,2,FALSE)</f>
        <v/>
      </c>
    </row>
    <row r="3777">
      <c r="A3777" t="inlineStr">
        <is>
          <t xml:space="preserve">time </t>
        </is>
      </c>
      <c r="B3777">
        <f>VLOOKUP(363,Requirements!A2:B2967,2,FALSE)</f>
        <v/>
      </c>
    </row>
    <row r="3778">
      <c r="A3778" t="inlineStr">
        <is>
          <t xml:space="preserve">time </t>
        </is>
      </c>
      <c r="B3778">
        <f>VLOOKUP(369,Requirements!A2:B2967,2,FALSE)</f>
        <v/>
      </c>
    </row>
    <row r="3779">
      <c r="A3779" t="inlineStr">
        <is>
          <t xml:space="preserve">time </t>
        </is>
      </c>
      <c r="B3779">
        <f>VLOOKUP(437,Requirements!A2:B2967,2,FALSE)</f>
        <v/>
      </c>
    </row>
    <row r="3780">
      <c r="A3780" t="inlineStr">
        <is>
          <t xml:space="preserve">time </t>
        </is>
      </c>
      <c r="B3780">
        <f>VLOOKUP(445,Requirements!A2:B2967,2,FALSE)</f>
        <v/>
      </c>
    </row>
    <row r="3781">
      <c r="A3781" t="inlineStr">
        <is>
          <t xml:space="preserve">time </t>
        </is>
      </c>
      <c r="B3781">
        <f>VLOOKUP(456,Requirements!A2:B2967,2,FALSE)</f>
        <v/>
      </c>
    </row>
    <row r="3782">
      <c r="A3782" t="inlineStr">
        <is>
          <t xml:space="preserve">time </t>
        </is>
      </c>
      <c r="B3782">
        <f>VLOOKUP(461,Requirements!A2:B2967,2,FALSE)</f>
        <v/>
      </c>
    </row>
    <row r="3783">
      <c r="A3783" t="inlineStr">
        <is>
          <t xml:space="preserve">time </t>
        </is>
      </c>
      <c r="B3783">
        <f>VLOOKUP(467,Requirements!A2:B2967,2,FALSE)</f>
        <v/>
      </c>
    </row>
    <row r="3784">
      <c r="A3784" t="inlineStr">
        <is>
          <t xml:space="preserve">time </t>
        </is>
      </c>
      <c r="B3784">
        <f>VLOOKUP(479,Requirements!A2:B2967,2,FALSE)</f>
        <v/>
      </c>
    </row>
    <row r="3785">
      <c r="A3785" t="inlineStr">
        <is>
          <t xml:space="preserve">time </t>
        </is>
      </c>
      <c r="B3785">
        <f>VLOOKUP(508,Requirements!A2:B2967,2,FALSE)</f>
        <v/>
      </c>
    </row>
    <row r="3786">
      <c r="A3786" t="inlineStr">
        <is>
          <t xml:space="preserve">time </t>
        </is>
      </c>
      <c r="B3786">
        <f>VLOOKUP(516,Requirements!A2:B2967,2,FALSE)</f>
        <v/>
      </c>
    </row>
    <row r="3787">
      <c r="A3787" t="inlineStr">
        <is>
          <t xml:space="preserve">time </t>
        </is>
      </c>
      <c r="B3787">
        <f>VLOOKUP(537,Requirements!A2:B2967,2,FALSE)</f>
        <v/>
      </c>
    </row>
    <row r="3788">
      <c r="A3788" t="inlineStr">
        <is>
          <t xml:space="preserve">time </t>
        </is>
      </c>
      <c r="B3788">
        <f>VLOOKUP(633,Requirements!A2:B2967,2,FALSE)</f>
        <v/>
      </c>
    </row>
    <row r="3789">
      <c r="A3789" t="inlineStr">
        <is>
          <t xml:space="preserve">time </t>
        </is>
      </c>
      <c r="B3789">
        <f>VLOOKUP(672,Requirements!A2:B2967,2,FALSE)</f>
        <v/>
      </c>
    </row>
    <row r="3790">
      <c r="A3790" t="inlineStr">
        <is>
          <t xml:space="preserve">time </t>
        </is>
      </c>
      <c r="B3790">
        <f>VLOOKUP(679,Requirements!A2:B2967,2,FALSE)</f>
        <v/>
      </c>
    </row>
    <row r="3791">
      <c r="A3791" t="inlineStr">
        <is>
          <t xml:space="preserve">time </t>
        </is>
      </c>
      <c r="B3791">
        <f>VLOOKUP(684,Requirements!A2:B2967,2,FALSE)</f>
        <v/>
      </c>
    </row>
    <row r="3792">
      <c r="A3792" t="inlineStr">
        <is>
          <t xml:space="preserve">time </t>
        </is>
      </c>
      <c r="B3792">
        <f>VLOOKUP(687,Requirements!A2:B2967,2,FALSE)</f>
        <v/>
      </c>
    </row>
    <row r="3793">
      <c r="A3793" t="inlineStr">
        <is>
          <t xml:space="preserve">time </t>
        </is>
      </c>
      <c r="B3793">
        <f>VLOOKUP(688,Requirements!A2:B2967,2,FALSE)</f>
        <v/>
      </c>
    </row>
    <row r="3794">
      <c r="A3794" t="inlineStr">
        <is>
          <t xml:space="preserve">time </t>
        </is>
      </c>
      <c r="B3794">
        <f>VLOOKUP(704,Requirements!A2:B2967,2,FALSE)</f>
        <v/>
      </c>
    </row>
    <row r="3795">
      <c r="A3795" t="inlineStr">
        <is>
          <t xml:space="preserve">time </t>
        </is>
      </c>
      <c r="B3795">
        <f>VLOOKUP(724,Requirements!A2:B2967,2,FALSE)</f>
        <v/>
      </c>
    </row>
    <row r="3796">
      <c r="A3796" t="inlineStr">
        <is>
          <t xml:space="preserve">time </t>
        </is>
      </c>
      <c r="B3796">
        <f>VLOOKUP(740,Requirements!A2:B2967,2,FALSE)</f>
        <v/>
      </c>
    </row>
    <row r="3797">
      <c r="A3797" t="inlineStr">
        <is>
          <t xml:space="preserve">time </t>
        </is>
      </c>
      <c r="B3797">
        <f>VLOOKUP(753,Requirements!A2:B2967,2,FALSE)</f>
        <v/>
      </c>
    </row>
    <row r="3798">
      <c r="A3798" t="inlineStr">
        <is>
          <t xml:space="preserve">time </t>
        </is>
      </c>
      <c r="B3798">
        <f>VLOOKUP(766,Requirements!A2:B2967,2,FALSE)</f>
        <v/>
      </c>
    </row>
    <row r="3799">
      <c r="A3799" t="inlineStr">
        <is>
          <t xml:space="preserve">time </t>
        </is>
      </c>
      <c r="B3799">
        <f>VLOOKUP(776,Requirements!A2:B2967,2,FALSE)</f>
        <v/>
      </c>
    </row>
    <row r="3800">
      <c r="A3800" t="inlineStr">
        <is>
          <t xml:space="preserve">time </t>
        </is>
      </c>
      <c r="B3800">
        <f>VLOOKUP(812,Requirements!A2:B2967,2,FALSE)</f>
        <v/>
      </c>
    </row>
    <row r="3801">
      <c r="A3801" t="inlineStr">
        <is>
          <t xml:space="preserve">time </t>
        </is>
      </c>
      <c r="B3801">
        <f>VLOOKUP(818,Requirements!A2:B2967,2,FALSE)</f>
        <v/>
      </c>
    </row>
    <row r="3802">
      <c r="A3802" t="inlineStr">
        <is>
          <t xml:space="preserve">time </t>
        </is>
      </c>
      <c r="B3802">
        <f>VLOOKUP(828,Requirements!A2:B2967,2,FALSE)</f>
        <v/>
      </c>
    </row>
    <row r="3803">
      <c r="A3803" t="inlineStr">
        <is>
          <t xml:space="preserve">time </t>
        </is>
      </c>
      <c r="B3803">
        <f>VLOOKUP(832,Requirements!A2:B2967,2,FALSE)</f>
        <v/>
      </c>
    </row>
    <row r="3804">
      <c r="A3804" t="inlineStr">
        <is>
          <t xml:space="preserve">time </t>
        </is>
      </c>
      <c r="B3804">
        <f>VLOOKUP(836,Requirements!A2:B2967,2,FALSE)</f>
        <v/>
      </c>
    </row>
    <row r="3805">
      <c r="A3805" t="inlineStr">
        <is>
          <t xml:space="preserve">time </t>
        </is>
      </c>
      <c r="B3805">
        <f>VLOOKUP(870,Requirements!A2:B2967,2,FALSE)</f>
        <v/>
      </c>
    </row>
    <row r="3806">
      <c r="A3806" t="inlineStr">
        <is>
          <t xml:space="preserve">time </t>
        </is>
      </c>
      <c r="B3806">
        <f>VLOOKUP(878,Requirements!A2:B2967,2,FALSE)</f>
        <v/>
      </c>
    </row>
    <row r="3807">
      <c r="A3807" t="inlineStr">
        <is>
          <t xml:space="preserve">time </t>
        </is>
      </c>
      <c r="B3807">
        <f>VLOOKUP(880,Requirements!A2:B2967,2,FALSE)</f>
        <v/>
      </c>
    </row>
    <row r="3808">
      <c r="A3808" t="inlineStr">
        <is>
          <t xml:space="preserve">time </t>
        </is>
      </c>
      <c r="B3808">
        <f>VLOOKUP(917,Requirements!A2:B2967,2,FALSE)</f>
        <v/>
      </c>
    </row>
    <row r="3809">
      <c r="A3809" t="inlineStr">
        <is>
          <t xml:space="preserve">time </t>
        </is>
      </c>
      <c r="B3809">
        <f>VLOOKUP(933,Requirements!A2:B2967,2,FALSE)</f>
        <v/>
      </c>
    </row>
    <row r="3810">
      <c r="A3810" t="inlineStr">
        <is>
          <t xml:space="preserve">time </t>
        </is>
      </c>
      <c r="B3810">
        <f>VLOOKUP(934,Requirements!A2:B2967,2,FALSE)</f>
        <v/>
      </c>
    </row>
    <row r="3811">
      <c r="A3811" t="inlineStr">
        <is>
          <t xml:space="preserve">time </t>
        </is>
      </c>
      <c r="B3811">
        <f>VLOOKUP(962,Requirements!A2:B2967,2,FALSE)</f>
        <v/>
      </c>
    </row>
    <row r="3812">
      <c r="A3812" t="inlineStr">
        <is>
          <t xml:space="preserve">time </t>
        </is>
      </c>
      <c r="B3812">
        <f>VLOOKUP(963,Requirements!A2:B2967,2,FALSE)</f>
        <v/>
      </c>
    </row>
    <row r="3813">
      <c r="A3813" t="inlineStr">
        <is>
          <t xml:space="preserve">time </t>
        </is>
      </c>
      <c r="B3813">
        <f>VLOOKUP(965,Requirements!A2:B2967,2,FALSE)</f>
        <v/>
      </c>
    </row>
    <row r="3814">
      <c r="A3814" t="inlineStr">
        <is>
          <t xml:space="preserve">time </t>
        </is>
      </c>
      <c r="B3814">
        <f>VLOOKUP(966,Requirements!A2:B2967,2,FALSE)</f>
        <v/>
      </c>
    </row>
    <row r="3815">
      <c r="A3815" t="inlineStr">
        <is>
          <t xml:space="preserve">time </t>
        </is>
      </c>
      <c r="B3815">
        <f>VLOOKUP(969,Requirements!A2:B2967,2,FALSE)</f>
        <v/>
      </c>
    </row>
    <row r="3816">
      <c r="A3816" t="inlineStr">
        <is>
          <t xml:space="preserve">time </t>
        </is>
      </c>
      <c r="B3816">
        <f>VLOOKUP(974,Requirements!A2:B2967,2,FALSE)</f>
        <v/>
      </c>
    </row>
    <row r="3817">
      <c r="A3817" t="inlineStr">
        <is>
          <t xml:space="preserve">time </t>
        </is>
      </c>
      <c r="B3817">
        <f>VLOOKUP(978,Requirements!A2:B2967,2,FALSE)</f>
        <v/>
      </c>
    </row>
    <row r="3818">
      <c r="A3818" t="inlineStr">
        <is>
          <t xml:space="preserve">time </t>
        </is>
      </c>
      <c r="B3818">
        <f>VLOOKUP(981,Requirements!A2:B2967,2,FALSE)</f>
        <v/>
      </c>
    </row>
    <row r="3819">
      <c r="A3819" t="inlineStr">
        <is>
          <t xml:space="preserve">time </t>
        </is>
      </c>
      <c r="B3819">
        <f>VLOOKUP(985,Requirements!A2:B2967,2,FALSE)</f>
        <v/>
      </c>
    </row>
    <row r="3820">
      <c r="A3820" t="inlineStr">
        <is>
          <t xml:space="preserve">time </t>
        </is>
      </c>
      <c r="B3820">
        <f>VLOOKUP(1000,Requirements!A2:B2967,2,FALSE)</f>
        <v/>
      </c>
    </row>
    <row r="3821">
      <c r="A3821" t="inlineStr">
        <is>
          <t xml:space="preserve">time </t>
        </is>
      </c>
      <c r="B3821">
        <f>VLOOKUP(1002,Requirements!A2:B2967,2,FALSE)</f>
        <v/>
      </c>
    </row>
    <row r="3822">
      <c r="A3822" t="inlineStr">
        <is>
          <t xml:space="preserve">time </t>
        </is>
      </c>
      <c r="B3822">
        <f>VLOOKUP(1013,Requirements!A2:B2967,2,FALSE)</f>
        <v/>
      </c>
    </row>
    <row r="3823">
      <c r="A3823" t="inlineStr">
        <is>
          <t xml:space="preserve">time </t>
        </is>
      </c>
      <c r="B3823">
        <f>VLOOKUP(1032,Requirements!A2:B2967,2,FALSE)</f>
        <v/>
      </c>
    </row>
    <row r="3824">
      <c r="A3824" t="inlineStr">
        <is>
          <t xml:space="preserve">time </t>
        </is>
      </c>
      <c r="B3824">
        <f>VLOOKUP(1037,Requirements!A2:B2967,2,FALSE)</f>
        <v/>
      </c>
    </row>
    <row r="3825">
      <c r="A3825" t="inlineStr">
        <is>
          <t xml:space="preserve">time </t>
        </is>
      </c>
      <c r="B3825">
        <f>VLOOKUP(1038,Requirements!A2:B2967,2,FALSE)</f>
        <v/>
      </c>
    </row>
    <row r="3826">
      <c r="A3826" t="inlineStr">
        <is>
          <t xml:space="preserve">time </t>
        </is>
      </c>
      <c r="B3826">
        <f>VLOOKUP(1043,Requirements!A2:B2967,2,FALSE)</f>
        <v/>
      </c>
    </row>
    <row r="3827">
      <c r="A3827" t="inlineStr">
        <is>
          <t xml:space="preserve">time </t>
        </is>
      </c>
      <c r="B3827">
        <f>VLOOKUP(1053,Requirements!A2:B2967,2,FALSE)</f>
        <v/>
      </c>
    </row>
    <row r="3828">
      <c r="A3828" t="inlineStr">
        <is>
          <t xml:space="preserve">time </t>
        </is>
      </c>
      <c r="B3828">
        <f>VLOOKUP(1057,Requirements!A2:B2967,2,FALSE)</f>
        <v/>
      </c>
    </row>
    <row r="3829">
      <c r="A3829" t="inlineStr">
        <is>
          <t xml:space="preserve">time </t>
        </is>
      </c>
      <c r="B3829">
        <f>VLOOKUP(1063,Requirements!A2:B2967,2,FALSE)</f>
        <v/>
      </c>
    </row>
    <row r="3830">
      <c r="A3830" t="inlineStr">
        <is>
          <t xml:space="preserve">time </t>
        </is>
      </c>
      <c r="B3830">
        <f>VLOOKUP(1067,Requirements!A2:B2967,2,FALSE)</f>
        <v/>
      </c>
    </row>
    <row r="3831">
      <c r="A3831" t="inlineStr">
        <is>
          <t xml:space="preserve">time </t>
        </is>
      </c>
      <c r="B3831">
        <f>VLOOKUP(1091,Requirements!A2:B2967,2,FALSE)</f>
        <v/>
      </c>
    </row>
    <row r="3832">
      <c r="A3832" t="inlineStr">
        <is>
          <t xml:space="preserve">time </t>
        </is>
      </c>
      <c r="B3832">
        <f>VLOOKUP(1094,Requirements!A2:B2967,2,FALSE)</f>
        <v/>
      </c>
    </row>
    <row r="3833">
      <c r="A3833" t="inlineStr">
        <is>
          <t xml:space="preserve">time </t>
        </is>
      </c>
      <c r="B3833">
        <f>VLOOKUP(1098,Requirements!A2:B2967,2,FALSE)</f>
        <v/>
      </c>
    </row>
    <row r="3834">
      <c r="A3834" t="inlineStr">
        <is>
          <t xml:space="preserve">time </t>
        </is>
      </c>
      <c r="B3834">
        <f>VLOOKUP(1099,Requirements!A2:B2967,2,FALSE)</f>
        <v/>
      </c>
    </row>
    <row r="3835">
      <c r="A3835" t="inlineStr">
        <is>
          <t xml:space="preserve">time </t>
        </is>
      </c>
      <c r="B3835">
        <f>VLOOKUP(1108,Requirements!A2:B2967,2,FALSE)</f>
        <v/>
      </c>
    </row>
    <row r="3836">
      <c r="A3836" t="inlineStr">
        <is>
          <t xml:space="preserve">time </t>
        </is>
      </c>
      <c r="B3836">
        <f>VLOOKUP(1124,Requirements!A2:B2967,2,FALSE)</f>
        <v/>
      </c>
    </row>
    <row r="3837">
      <c r="A3837" t="inlineStr">
        <is>
          <t xml:space="preserve">time </t>
        </is>
      </c>
      <c r="B3837">
        <f>VLOOKUP(1145,Requirements!A2:B2967,2,FALSE)</f>
        <v/>
      </c>
    </row>
    <row r="3838">
      <c r="A3838" t="inlineStr">
        <is>
          <t xml:space="preserve">time </t>
        </is>
      </c>
      <c r="B3838">
        <f>VLOOKUP(1150,Requirements!A2:B2967,2,FALSE)</f>
        <v/>
      </c>
    </row>
    <row r="3839">
      <c r="A3839" t="inlineStr">
        <is>
          <t xml:space="preserve">time </t>
        </is>
      </c>
      <c r="B3839">
        <f>VLOOKUP(1156,Requirements!A2:B2967,2,FALSE)</f>
        <v/>
      </c>
    </row>
    <row r="3840">
      <c r="A3840" t="inlineStr">
        <is>
          <t xml:space="preserve">time </t>
        </is>
      </c>
      <c r="B3840">
        <f>VLOOKUP(1161,Requirements!A2:B2967,2,FALSE)</f>
        <v/>
      </c>
    </row>
    <row r="3841">
      <c r="A3841" t="inlineStr">
        <is>
          <t xml:space="preserve">time </t>
        </is>
      </c>
      <c r="B3841">
        <f>VLOOKUP(1164,Requirements!A2:B2967,2,FALSE)</f>
        <v/>
      </c>
    </row>
    <row r="3842">
      <c r="A3842" t="inlineStr">
        <is>
          <t xml:space="preserve">time </t>
        </is>
      </c>
      <c r="B3842">
        <f>VLOOKUP(1178,Requirements!A2:B2967,2,FALSE)</f>
        <v/>
      </c>
    </row>
    <row r="3843">
      <c r="A3843" t="inlineStr">
        <is>
          <t xml:space="preserve">time </t>
        </is>
      </c>
      <c r="B3843">
        <f>VLOOKUP(1189,Requirements!A2:B2967,2,FALSE)</f>
        <v/>
      </c>
    </row>
    <row r="3844">
      <c r="A3844" t="inlineStr">
        <is>
          <t xml:space="preserve">time </t>
        </is>
      </c>
      <c r="B3844">
        <f>VLOOKUP(1205,Requirements!A2:B2967,2,FALSE)</f>
        <v/>
      </c>
    </row>
    <row r="3845">
      <c r="A3845" t="inlineStr">
        <is>
          <t xml:space="preserve">time </t>
        </is>
      </c>
      <c r="B3845">
        <f>VLOOKUP(1207,Requirements!A2:B2967,2,FALSE)</f>
        <v/>
      </c>
    </row>
    <row r="3846">
      <c r="A3846" t="inlineStr">
        <is>
          <t xml:space="preserve">time </t>
        </is>
      </c>
      <c r="B3846">
        <f>VLOOKUP(1249,Requirements!A2:B2967,2,FALSE)</f>
        <v/>
      </c>
    </row>
    <row r="3847">
      <c r="A3847" t="inlineStr">
        <is>
          <t xml:space="preserve">time </t>
        </is>
      </c>
      <c r="B3847">
        <f>VLOOKUP(1252,Requirements!A2:B2967,2,FALSE)</f>
        <v/>
      </c>
    </row>
    <row r="3848">
      <c r="A3848" t="inlineStr">
        <is>
          <t xml:space="preserve">time </t>
        </is>
      </c>
      <c r="B3848">
        <f>VLOOKUP(1253,Requirements!A2:B2967,2,FALSE)</f>
        <v/>
      </c>
    </row>
    <row r="3849">
      <c r="A3849" t="inlineStr">
        <is>
          <t xml:space="preserve">time </t>
        </is>
      </c>
      <c r="B3849">
        <f>VLOOKUP(1268,Requirements!A2:B2967,2,FALSE)</f>
        <v/>
      </c>
    </row>
    <row r="3850">
      <c r="A3850" t="inlineStr">
        <is>
          <t xml:space="preserve">time </t>
        </is>
      </c>
      <c r="B3850">
        <f>VLOOKUP(1270,Requirements!A2:B2967,2,FALSE)</f>
        <v/>
      </c>
    </row>
    <row r="3851">
      <c r="A3851" t="inlineStr">
        <is>
          <t xml:space="preserve">time </t>
        </is>
      </c>
      <c r="B3851">
        <f>VLOOKUP(1279,Requirements!A2:B2967,2,FALSE)</f>
        <v/>
      </c>
    </row>
    <row r="3852">
      <c r="A3852" t="inlineStr">
        <is>
          <t xml:space="preserve">time </t>
        </is>
      </c>
      <c r="B3852">
        <f>VLOOKUP(1282,Requirements!A2:B2967,2,FALSE)</f>
        <v/>
      </c>
    </row>
    <row r="3853">
      <c r="A3853" t="inlineStr">
        <is>
          <t xml:space="preserve">time </t>
        </is>
      </c>
      <c r="B3853">
        <f>VLOOKUP(1304,Requirements!A2:B2967,2,FALSE)</f>
        <v/>
      </c>
    </row>
    <row r="3854">
      <c r="A3854" t="inlineStr">
        <is>
          <t xml:space="preserve">time </t>
        </is>
      </c>
      <c r="B3854">
        <f>VLOOKUP(1311,Requirements!A2:B2967,2,FALSE)</f>
        <v/>
      </c>
    </row>
    <row r="3855">
      <c r="A3855" t="inlineStr">
        <is>
          <t xml:space="preserve">time </t>
        </is>
      </c>
      <c r="B3855">
        <f>VLOOKUP(1314,Requirements!A2:B2967,2,FALSE)</f>
        <v/>
      </c>
    </row>
    <row r="3856">
      <c r="A3856" t="inlineStr">
        <is>
          <t xml:space="preserve">time </t>
        </is>
      </c>
      <c r="B3856">
        <f>VLOOKUP(1340,Requirements!A2:B2967,2,FALSE)</f>
        <v/>
      </c>
    </row>
    <row r="3857">
      <c r="A3857" t="inlineStr">
        <is>
          <t xml:space="preserve">time </t>
        </is>
      </c>
      <c r="B3857">
        <f>VLOOKUP(1343,Requirements!A2:B2967,2,FALSE)</f>
        <v/>
      </c>
    </row>
    <row r="3858">
      <c r="A3858" t="inlineStr">
        <is>
          <t xml:space="preserve">time </t>
        </is>
      </c>
      <c r="B3858">
        <f>VLOOKUP(1369,Requirements!A2:B2967,2,FALSE)</f>
        <v/>
      </c>
    </row>
    <row r="3859">
      <c r="A3859" t="inlineStr">
        <is>
          <t xml:space="preserve">time </t>
        </is>
      </c>
      <c r="B3859">
        <f>VLOOKUP(1391,Requirements!A2:B2967,2,FALSE)</f>
        <v/>
      </c>
    </row>
    <row r="3860">
      <c r="A3860" t="inlineStr">
        <is>
          <t xml:space="preserve">time </t>
        </is>
      </c>
      <c r="B3860">
        <f>VLOOKUP(1398,Requirements!A2:B2967,2,FALSE)</f>
        <v/>
      </c>
    </row>
    <row r="3861">
      <c r="A3861" t="inlineStr">
        <is>
          <t xml:space="preserve">time </t>
        </is>
      </c>
      <c r="B3861">
        <f>VLOOKUP(1417,Requirements!A2:B2967,2,FALSE)</f>
        <v/>
      </c>
    </row>
    <row r="3862">
      <c r="A3862" t="inlineStr">
        <is>
          <t xml:space="preserve">time </t>
        </is>
      </c>
      <c r="B3862">
        <f>VLOOKUP(1424,Requirements!A2:B2967,2,FALSE)</f>
        <v/>
      </c>
    </row>
    <row r="3863">
      <c r="A3863" t="inlineStr">
        <is>
          <t xml:space="preserve">time </t>
        </is>
      </c>
      <c r="B3863">
        <f>VLOOKUP(1425,Requirements!A2:B2967,2,FALSE)</f>
        <v/>
      </c>
    </row>
    <row r="3864">
      <c r="A3864" t="inlineStr">
        <is>
          <t xml:space="preserve">time </t>
        </is>
      </c>
      <c r="B3864">
        <f>VLOOKUP(1426,Requirements!A2:B2967,2,FALSE)</f>
        <v/>
      </c>
    </row>
    <row r="3865">
      <c r="A3865" t="inlineStr">
        <is>
          <t xml:space="preserve">time </t>
        </is>
      </c>
      <c r="B3865">
        <f>VLOOKUP(1432,Requirements!A2:B2967,2,FALSE)</f>
        <v/>
      </c>
    </row>
    <row r="3866">
      <c r="A3866" t="inlineStr">
        <is>
          <t xml:space="preserve">time </t>
        </is>
      </c>
      <c r="B3866">
        <f>VLOOKUP(1460,Requirements!A2:B2967,2,FALSE)</f>
        <v/>
      </c>
    </row>
    <row r="3867">
      <c r="A3867" t="inlineStr">
        <is>
          <t xml:space="preserve">time </t>
        </is>
      </c>
      <c r="B3867">
        <f>VLOOKUP(1500,Requirements!A2:B2967,2,FALSE)</f>
        <v/>
      </c>
    </row>
    <row r="3868">
      <c r="A3868" t="inlineStr">
        <is>
          <t xml:space="preserve">time </t>
        </is>
      </c>
      <c r="B3868">
        <f>VLOOKUP(1538,Requirements!A2:B2967,2,FALSE)</f>
        <v/>
      </c>
    </row>
    <row r="3869">
      <c r="A3869" t="inlineStr">
        <is>
          <t xml:space="preserve">time </t>
        </is>
      </c>
      <c r="B3869">
        <f>VLOOKUP(1569,Requirements!A2:B2967,2,FALSE)</f>
        <v/>
      </c>
    </row>
    <row r="3870">
      <c r="A3870" t="inlineStr">
        <is>
          <t xml:space="preserve">time </t>
        </is>
      </c>
      <c r="B3870">
        <f>VLOOKUP(1573,Requirements!A2:B2967,2,FALSE)</f>
        <v/>
      </c>
    </row>
    <row r="3871">
      <c r="A3871" t="inlineStr">
        <is>
          <t xml:space="preserve">time </t>
        </is>
      </c>
      <c r="B3871">
        <f>VLOOKUP(1576,Requirements!A2:B2967,2,FALSE)</f>
        <v/>
      </c>
    </row>
    <row r="3872">
      <c r="A3872" t="inlineStr">
        <is>
          <t xml:space="preserve">time </t>
        </is>
      </c>
      <c r="B3872">
        <f>VLOOKUP(1585,Requirements!A2:B2967,2,FALSE)</f>
        <v/>
      </c>
    </row>
    <row r="3873">
      <c r="A3873" t="inlineStr">
        <is>
          <t xml:space="preserve">time </t>
        </is>
      </c>
      <c r="B3873">
        <f>VLOOKUP(1589,Requirements!A2:B2967,2,FALSE)</f>
        <v/>
      </c>
    </row>
    <row r="3874">
      <c r="A3874" t="inlineStr">
        <is>
          <t xml:space="preserve">time </t>
        </is>
      </c>
      <c r="B3874">
        <f>VLOOKUP(1599,Requirements!A2:B2967,2,FALSE)</f>
        <v/>
      </c>
    </row>
    <row r="3875">
      <c r="A3875" t="inlineStr">
        <is>
          <t xml:space="preserve">time </t>
        </is>
      </c>
      <c r="B3875">
        <f>VLOOKUP(1609,Requirements!A2:B2967,2,FALSE)</f>
        <v/>
      </c>
    </row>
    <row r="3876">
      <c r="A3876" t="inlineStr">
        <is>
          <t xml:space="preserve">time </t>
        </is>
      </c>
      <c r="B3876">
        <f>VLOOKUP(1625,Requirements!A2:B2967,2,FALSE)</f>
        <v/>
      </c>
    </row>
    <row r="3877">
      <c r="A3877" t="inlineStr">
        <is>
          <t xml:space="preserve">time </t>
        </is>
      </c>
      <c r="B3877">
        <f>VLOOKUP(1631,Requirements!A2:B2967,2,FALSE)</f>
        <v/>
      </c>
    </row>
    <row r="3878">
      <c r="A3878" t="inlineStr">
        <is>
          <t xml:space="preserve">time </t>
        </is>
      </c>
      <c r="B3878">
        <f>VLOOKUP(1641,Requirements!A2:B2967,2,FALSE)</f>
        <v/>
      </c>
    </row>
    <row r="3879">
      <c r="A3879" t="inlineStr">
        <is>
          <t xml:space="preserve">time </t>
        </is>
      </c>
      <c r="B3879">
        <f>VLOOKUP(1645,Requirements!A2:B2967,2,FALSE)</f>
        <v/>
      </c>
    </row>
    <row r="3880">
      <c r="A3880" t="inlineStr">
        <is>
          <t xml:space="preserve">time </t>
        </is>
      </c>
      <c r="B3880">
        <f>VLOOKUP(1653,Requirements!A2:B2967,2,FALSE)</f>
        <v/>
      </c>
    </row>
    <row r="3881">
      <c r="A3881" t="inlineStr">
        <is>
          <t xml:space="preserve">time </t>
        </is>
      </c>
      <c r="B3881">
        <f>VLOOKUP(1654,Requirements!A2:B2967,2,FALSE)</f>
        <v/>
      </c>
    </row>
    <row r="3882">
      <c r="A3882" t="inlineStr">
        <is>
          <t xml:space="preserve">time </t>
        </is>
      </c>
      <c r="B3882">
        <f>VLOOKUP(1665,Requirements!A2:B2967,2,FALSE)</f>
        <v/>
      </c>
    </row>
    <row r="3883">
      <c r="A3883" t="inlineStr">
        <is>
          <t xml:space="preserve">time </t>
        </is>
      </c>
      <c r="B3883">
        <f>VLOOKUP(1675,Requirements!A2:B2967,2,FALSE)</f>
        <v/>
      </c>
    </row>
    <row r="3884">
      <c r="A3884" t="inlineStr">
        <is>
          <t xml:space="preserve">time </t>
        </is>
      </c>
      <c r="B3884">
        <f>VLOOKUP(1684,Requirements!A2:B2967,2,FALSE)</f>
        <v/>
      </c>
    </row>
    <row r="3885">
      <c r="A3885" t="inlineStr">
        <is>
          <t xml:space="preserve">time </t>
        </is>
      </c>
      <c r="B3885">
        <f>VLOOKUP(1686,Requirements!A2:B2967,2,FALSE)</f>
        <v/>
      </c>
    </row>
    <row r="3886">
      <c r="A3886" t="inlineStr">
        <is>
          <t xml:space="preserve">time </t>
        </is>
      </c>
      <c r="B3886">
        <f>VLOOKUP(1705,Requirements!A2:B2967,2,FALSE)</f>
        <v/>
      </c>
    </row>
    <row r="3887">
      <c r="A3887" t="inlineStr">
        <is>
          <t xml:space="preserve">time </t>
        </is>
      </c>
      <c r="B3887">
        <f>VLOOKUP(1740,Requirements!A2:B2967,2,FALSE)</f>
        <v/>
      </c>
    </row>
    <row r="3888">
      <c r="A3888" t="inlineStr">
        <is>
          <t xml:space="preserve">time </t>
        </is>
      </c>
      <c r="B3888">
        <f>VLOOKUP(1758,Requirements!A2:B2967,2,FALSE)</f>
        <v/>
      </c>
    </row>
    <row r="3889">
      <c r="A3889" t="inlineStr">
        <is>
          <t xml:space="preserve">time </t>
        </is>
      </c>
      <c r="B3889">
        <f>VLOOKUP(1767,Requirements!A2:B2967,2,FALSE)</f>
        <v/>
      </c>
    </row>
    <row r="3890">
      <c r="A3890" t="inlineStr">
        <is>
          <t xml:space="preserve">time </t>
        </is>
      </c>
      <c r="B3890">
        <f>VLOOKUP(1768,Requirements!A2:B2967,2,FALSE)</f>
        <v/>
      </c>
    </row>
    <row r="3891">
      <c r="A3891" t="inlineStr">
        <is>
          <t xml:space="preserve">time </t>
        </is>
      </c>
      <c r="B3891">
        <f>VLOOKUP(1770,Requirements!A2:B2967,2,FALSE)</f>
        <v/>
      </c>
    </row>
    <row r="3892">
      <c r="A3892" t="inlineStr">
        <is>
          <t xml:space="preserve">time </t>
        </is>
      </c>
      <c r="B3892">
        <f>VLOOKUP(1774,Requirements!A2:B2967,2,FALSE)</f>
        <v/>
      </c>
    </row>
    <row r="3893">
      <c r="A3893" t="inlineStr">
        <is>
          <t xml:space="preserve">time </t>
        </is>
      </c>
      <c r="B3893">
        <f>VLOOKUP(1776,Requirements!A2:B2967,2,FALSE)</f>
        <v/>
      </c>
    </row>
    <row r="3894">
      <c r="A3894" t="inlineStr">
        <is>
          <t xml:space="preserve">time </t>
        </is>
      </c>
      <c r="B3894">
        <f>VLOOKUP(1780,Requirements!A2:B2967,2,FALSE)</f>
        <v/>
      </c>
    </row>
    <row r="3895">
      <c r="A3895" t="inlineStr">
        <is>
          <t xml:space="preserve">time </t>
        </is>
      </c>
      <c r="B3895">
        <f>VLOOKUP(1837,Requirements!A2:B2967,2,FALSE)</f>
        <v/>
      </c>
    </row>
    <row r="3896">
      <c r="A3896" t="inlineStr">
        <is>
          <t xml:space="preserve">time </t>
        </is>
      </c>
      <c r="B3896">
        <f>VLOOKUP(1848,Requirements!A2:B2967,2,FALSE)</f>
        <v/>
      </c>
    </row>
    <row r="3897">
      <c r="A3897" t="inlineStr">
        <is>
          <t xml:space="preserve">time </t>
        </is>
      </c>
      <c r="B3897">
        <f>VLOOKUP(1855,Requirements!A2:B2967,2,FALSE)</f>
        <v/>
      </c>
    </row>
    <row r="3898">
      <c r="A3898" t="inlineStr">
        <is>
          <t xml:space="preserve">time </t>
        </is>
      </c>
      <c r="B3898">
        <f>VLOOKUP(1859,Requirements!A2:B2967,2,FALSE)</f>
        <v/>
      </c>
    </row>
    <row r="3899">
      <c r="A3899" t="inlineStr">
        <is>
          <t xml:space="preserve">time </t>
        </is>
      </c>
      <c r="B3899">
        <f>VLOOKUP(1868,Requirements!A2:B2967,2,FALSE)</f>
        <v/>
      </c>
    </row>
    <row r="3900">
      <c r="A3900" t="inlineStr">
        <is>
          <t xml:space="preserve">time </t>
        </is>
      </c>
      <c r="B3900">
        <f>VLOOKUP(1893,Requirements!A2:B2967,2,FALSE)</f>
        <v/>
      </c>
    </row>
    <row r="3901">
      <c r="A3901" t="inlineStr">
        <is>
          <t xml:space="preserve">time </t>
        </is>
      </c>
      <c r="B3901">
        <f>VLOOKUP(1896,Requirements!A2:B2967,2,FALSE)</f>
        <v/>
      </c>
    </row>
    <row r="3902">
      <c r="A3902" t="inlineStr">
        <is>
          <t xml:space="preserve">time </t>
        </is>
      </c>
      <c r="B3902">
        <f>VLOOKUP(1915,Requirements!A2:B2967,2,FALSE)</f>
        <v/>
      </c>
    </row>
    <row r="3903">
      <c r="A3903" t="inlineStr">
        <is>
          <t xml:space="preserve">time </t>
        </is>
      </c>
      <c r="B3903">
        <f>VLOOKUP(1945,Requirements!A2:B2967,2,FALSE)</f>
        <v/>
      </c>
    </row>
    <row r="3904">
      <c r="A3904" t="inlineStr">
        <is>
          <t xml:space="preserve">time </t>
        </is>
      </c>
      <c r="B3904">
        <f>VLOOKUP(1951,Requirements!A2:B2967,2,FALSE)</f>
        <v/>
      </c>
    </row>
    <row r="3905">
      <c r="A3905" t="inlineStr">
        <is>
          <t xml:space="preserve">time </t>
        </is>
      </c>
      <c r="B3905">
        <f>VLOOKUP(1952,Requirements!A2:B2967,2,FALSE)</f>
        <v/>
      </c>
    </row>
    <row r="3906">
      <c r="A3906" t="inlineStr">
        <is>
          <t xml:space="preserve">time </t>
        </is>
      </c>
      <c r="B3906">
        <f>VLOOKUP(1978,Requirements!A2:B2967,2,FALSE)</f>
        <v/>
      </c>
    </row>
    <row r="3907">
      <c r="A3907" t="inlineStr">
        <is>
          <t xml:space="preserve">time </t>
        </is>
      </c>
      <c r="B3907">
        <f>VLOOKUP(2003,Requirements!A2:B2967,2,FALSE)</f>
        <v/>
      </c>
    </row>
    <row r="3908">
      <c r="A3908" t="inlineStr">
        <is>
          <t xml:space="preserve">time </t>
        </is>
      </c>
      <c r="B3908">
        <f>VLOOKUP(2052,Requirements!A2:B2967,2,FALSE)</f>
        <v/>
      </c>
    </row>
    <row r="3909">
      <c r="A3909" t="inlineStr">
        <is>
          <t xml:space="preserve">time </t>
        </is>
      </c>
      <c r="B3909">
        <f>VLOOKUP(2053,Requirements!A2:B2967,2,FALSE)</f>
        <v/>
      </c>
    </row>
    <row r="3910">
      <c r="A3910" t="inlineStr">
        <is>
          <t xml:space="preserve">time </t>
        </is>
      </c>
      <c r="B3910">
        <f>VLOOKUP(2092,Requirements!A2:B2967,2,FALSE)</f>
        <v/>
      </c>
    </row>
    <row r="3911">
      <c r="A3911" t="inlineStr">
        <is>
          <t xml:space="preserve">time </t>
        </is>
      </c>
      <c r="B3911">
        <f>VLOOKUP(2100,Requirements!A2:B2967,2,FALSE)</f>
        <v/>
      </c>
    </row>
    <row r="3912">
      <c r="A3912" t="inlineStr">
        <is>
          <t xml:space="preserve">time </t>
        </is>
      </c>
      <c r="B3912">
        <f>VLOOKUP(2145,Requirements!A2:B2967,2,FALSE)</f>
        <v/>
      </c>
    </row>
    <row r="3913">
      <c r="A3913" t="inlineStr">
        <is>
          <t xml:space="preserve">time </t>
        </is>
      </c>
      <c r="B3913">
        <f>VLOOKUP(2190,Requirements!A2:B2967,2,FALSE)</f>
        <v/>
      </c>
    </row>
    <row r="3914">
      <c r="A3914" t="inlineStr">
        <is>
          <t xml:space="preserve">time </t>
        </is>
      </c>
      <c r="B3914">
        <f>VLOOKUP(2194,Requirements!A2:B2967,2,FALSE)</f>
        <v/>
      </c>
    </row>
    <row r="3915">
      <c r="A3915" t="inlineStr">
        <is>
          <t xml:space="preserve">time </t>
        </is>
      </c>
      <c r="B3915">
        <f>VLOOKUP(2195,Requirements!A2:B2967,2,FALSE)</f>
        <v/>
      </c>
    </row>
    <row r="3916">
      <c r="A3916" t="inlineStr">
        <is>
          <t xml:space="preserve">time </t>
        </is>
      </c>
      <c r="B3916">
        <f>VLOOKUP(2199,Requirements!A2:B2967,2,FALSE)</f>
        <v/>
      </c>
    </row>
    <row r="3917">
      <c r="A3917" t="inlineStr">
        <is>
          <t xml:space="preserve">time </t>
        </is>
      </c>
      <c r="B3917">
        <f>VLOOKUP(2201,Requirements!A2:B2967,2,FALSE)</f>
        <v/>
      </c>
    </row>
    <row r="3918">
      <c r="A3918" t="inlineStr">
        <is>
          <t xml:space="preserve">time </t>
        </is>
      </c>
      <c r="B3918">
        <f>VLOOKUP(2204,Requirements!A2:B2967,2,FALSE)</f>
        <v/>
      </c>
    </row>
    <row r="3919">
      <c r="A3919" t="inlineStr">
        <is>
          <t xml:space="preserve">time </t>
        </is>
      </c>
      <c r="B3919">
        <f>VLOOKUP(2205,Requirements!A2:B2967,2,FALSE)</f>
        <v/>
      </c>
    </row>
    <row r="3920">
      <c r="A3920" t="inlineStr">
        <is>
          <t xml:space="preserve">time </t>
        </is>
      </c>
      <c r="B3920">
        <f>VLOOKUP(2220,Requirements!A2:B2967,2,FALSE)</f>
        <v/>
      </c>
    </row>
    <row r="3921">
      <c r="A3921" t="inlineStr">
        <is>
          <t xml:space="preserve">time </t>
        </is>
      </c>
      <c r="B3921">
        <f>VLOOKUP(2225,Requirements!A2:B2967,2,FALSE)</f>
        <v/>
      </c>
    </row>
    <row r="3922">
      <c r="A3922" t="inlineStr">
        <is>
          <t xml:space="preserve">time </t>
        </is>
      </c>
      <c r="B3922">
        <f>VLOOKUP(2248,Requirements!A2:B2967,2,FALSE)</f>
        <v/>
      </c>
    </row>
    <row r="3923">
      <c r="A3923" t="inlineStr">
        <is>
          <t xml:space="preserve">time </t>
        </is>
      </c>
      <c r="B3923">
        <f>VLOOKUP(2250,Requirements!A2:B2967,2,FALSE)</f>
        <v/>
      </c>
    </row>
    <row r="3924">
      <c r="A3924" t="inlineStr">
        <is>
          <t xml:space="preserve">time </t>
        </is>
      </c>
      <c r="B3924">
        <f>VLOOKUP(2253,Requirements!A2:B2967,2,FALSE)</f>
        <v/>
      </c>
    </row>
    <row r="3925">
      <c r="A3925" t="inlineStr">
        <is>
          <t xml:space="preserve">time </t>
        </is>
      </c>
      <c r="B3925">
        <f>VLOOKUP(2259,Requirements!A2:B2967,2,FALSE)</f>
        <v/>
      </c>
    </row>
    <row r="3926">
      <c r="A3926" t="inlineStr">
        <is>
          <t xml:space="preserve">time </t>
        </is>
      </c>
      <c r="B3926">
        <f>VLOOKUP(2269,Requirements!A2:B2967,2,FALSE)</f>
        <v/>
      </c>
    </row>
    <row r="3927">
      <c r="A3927" t="inlineStr">
        <is>
          <t xml:space="preserve">time </t>
        </is>
      </c>
      <c r="B3927">
        <f>VLOOKUP(2270,Requirements!A2:B2967,2,FALSE)</f>
        <v/>
      </c>
    </row>
    <row r="3928">
      <c r="A3928" t="inlineStr">
        <is>
          <t xml:space="preserve">time </t>
        </is>
      </c>
      <c r="B3928">
        <f>VLOOKUP(2286,Requirements!A2:B2967,2,FALSE)</f>
        <v/>
      </c>
    </row>
    <row r="3929">
      <c r="A3929" t="inlineStr">
        <is>
          <t xml:space="preserve">time </t>
        </is>
      </c>
      <c r="B3929">
        <f>VLOOKUP(2344,Requirements!A2:B2967,2,FALSE)</f>
        <v/>
      </c>
    </row>
    <row r="3930">
      <c r="A3930" t="inlineStr">
        <is>
          <t xml:space="preserve">time </t>
        </is>
      </c>
      <c r="B3930">
        <f>VLOOKUP(2345,Requirements!A2:B2967,2,FALSE)</f>
        <v/>
      </c>
    </row>
    <row r="3931">
      <c r="A3931" t="inlineStr">
        <is>
          <t xml:space="preserve">time </t>
        </is>
      </c>
      <c r="B3931">
        <f>VLOOKUP(2349,Requirements!A2:B2967,2,FALSE)</f>
        <v/>
      </c>
    </row>
    <row r="3932">
      <c r="A3932" t="inlineStr">
        <is>
          <t xml:space="preserve">time </t>
        </is>
      </c>
      <c r="B3932">
        <f>VLOOKUP(2421,Requirements!A2:B2967,2,FALSE)</f>
        <v/>
      </c>
    </row>
    <row r="3933">
      <c r="A3933" t="inlineStr">
        <is>
          <t xml:space="preserve">time </t>
        </is>
      </c>
      <c r="B3933">
        <f>VLOOKUP(2433,Requirements!A2:B2967,2,FALSE)</f>
        <v/>
      </c>
    </row>
    <row r="3934">
      <c r="A3934" t="inlineStr">
        <is>
          <t xml:space="preserve">time </t>
        </is>
      </c>
      <c r="B3934">
        <f>VLOOKUP(2449,Requirements!A2:B2967,2,FALSE)</f>
        <v/>
      </c>
    </row>
    <row r="3935">
      <c r="A3935" t="inlineStr">
        <is>
          <t xml:space="preserve">time </t>
        </is>
      </c>
      <c r="B3935">
        <f>VLOOKUP(2465,Requirements!A2:B2967,2,FALSE)</f>
        <v/>
      </c>
    </row>
    <row r="3936">
      <c r="A3936" t="inlineStr">
        <is>
          <t xml:space="preserve">time </t>
        </is>
      </c>
      <c r="B3936">
        <f>VLOOKUP(2471,Requirements!A2:B2967,2,FALSE)</f>
        <v/>
      </c>
    </row>
    <row r="3937">
      <c r="A3937" t="inlineStr">
        <is>
          <t xml:space="preserve">time </t>
        </is>
      </c>
      <c r="B3937">
        <f>VLOOKUP(2482,Requirements!A2:B2967,2,FALSE)</f>
        <v/>
      </c>
    </row>
    <row r="3938">
      <c r="A3938" t="inlineStr">
        <is>
          <t xml:space="preserve">time </t>
        </is>
      </c>
      <c r="B3938">
        <f>VLOOKUP(2483,Requirements!A2:B2967,2,FALSE)</f>
        <v/>
      </c>
    </row>
    <row r="3939">
      <c r="A3939" t="inlineStr">
        <is>
          <t xml:space="preserve">time </t>
        </is>
      </c>
      <c r="B3939">
        <f>VLOOKUP(2490,Requirements!A2:B2967,2,FALSE)</f>
        <v/>
      </c>
    </row>
    <row r="3940">
      <c r="A3940" t="inlineStr">
        <is>
          <t xml:space="preserve">time </t>
        </is>
      </c>
      <c r="B3940">
        <f>VLOOKUP(2499,Requirements!A2:B2967,2,FALSE)</f>
        <v/>
      </c>
    </row>
    <row r="3941">
      <c r="A3941" t="inlineStr">
        <is>
          <t xml:space="preserve">time </t>
        </is>
      </c>
      <c r="B3941">
        <f>VLOOKUP(2507,Requirements!A2:B2967,2,FALSE)</f>
        <v/>
      </c>
    </row>
    <row r="3942">
      <c r="A3942" t="inlineStr">
        <is>
          <t xml:space="preserve">time </t>
        </is>
      </c>
      <c r="B3942">
        <f>VLOOKUP(2515,Requirements!A2:B2967,2,FALSE)</f>
        <v/>
      </c>
    </row>
    <row r="3943">
      <c r="A3943" t="inlineStr">
        <is>
          <t xml:space="preserve">time </t>
        </is>
      </c>
      <c r="B3943">
        <f>VLOOKUP(2546,Requirements!A2:B2967,2,FALSE)</f>
        <v/>
      </c>
    </row>
    <row r="3944">
      <c r="A3944" t="inlineStr">
        <is>
          <t xml:space="preserve">time </t>
        </is>
      </c>
      <c r="B3944">
        <f>VLOOKUP(2553,Requirements!A2:B2967,2,FALSE)</f>
        <v/>
      </c>
    </row>
    <row r="3945">
      <c r="A3945" t="inlineStr">
        <is>
          <t xml:space="preserve">time </t>
        </is>
      </c>
      <c r="B3945">
        <f>VLOOKUP(2574,Requirements!A2:B2967,2,FALSE)</f>
        <v/>
      </c>
    </row>
    <row r="3946">
      <c r="A3946" t="inlineStr">
        <is>
          <t xml:space="preserve">time </t>
        </is>
      </c>
      <c r="B3946">
        <f>VLOOKUP(2575,Requirements!A2:B2967,2,FALSE)</f>
        <v/>
      </c>
    </row>
    <row r="3947">
      <c r="A3947" t="inlineStr">
        <is>
          <t xml:space="preserve">time </t>
        </is>
      </c>
      <c r="B3947">
        <f>VLOOKUP(2589,Requirements!A2:B2967,2,FALSE)</f>
        <v/>
      </c>
    </row>
    <row r="3948">
      <c r="A3948" t="inlineStr">
        <is>
          <t xml:space="preserve">time </t>
        </is>
      </c>
      <c r="B3948">
        <f>VLOOKUP(2593,Requirements!A2:B2967,2,FALSE)</f>
        <v/>
      </c>
    </row>
    <row r="3949">
      <c r="A3949" t="inlineStr">
        <is>
          <t xml:space="preserve">time </t>
        </is>
      </c>
      <c r="B3949">
        <f>VLOOKUP(2603,Requirements!A2:B2967,2,FALSE)</f>
        <v/>
      </c>
    </row>
    <row r="3950">
      <c r="A3950" t="inlineStr">
        <is>
          <t xml:space="preserve">time </t>
        </is>
      </c>
      <c r="B3950">
        <f>VLOOKUP(2615,Requirements!A2:B2967,2,FALSE)</f>
        <v/>
      </c>
    </row>
    <row r="3951">
      <c r="A3951" t="inlineStr">
        <is>
          <t xml:space="preserve">time </t>
        </is>
      </c>
      <c r="B3951">
        <f>VLOOKUP(2623,Requirements!A2:B2967,2,FALSE)</f>
        <v/>
      </c>
    </row>
    <row r="3952">
      <c r="A3952" t="inlineStr">
        <is>
          <t xml:space="preserve">time </t>
        </is>
      </c>
      <c r="B3952">
        <f>VLOOKUP(2624,Requirements!A2:B2967,2,FALSE)</f>
        <v/>
      </c>
    </row>
    <row r="3953">
      <c r="A3953" t="inlineStr">
        <is>
          <t xml:space="preserve">time </t>
        </is>
      </c>
      <c r="B3953">
        <f>VLOOKUP(2633,Requirements!A2:B2967,2,FALSE)</f>
        <v/>
      </c>
    </row>
    <row r="3954">
      <c r="A3954" t="inlineStr">
        <is>
          <t xml:space="preserve">time </t>
        </is>
      </c>
      <c r="B3954">
        <f>VLOOKUP(2646,Requirements!A2:B2967,2,FALSE)</f>
        <v/>
      </c>
    </row>
    <row r="3955">
      <c r="A3955" t="inlineStr">
        <is>
          <t xml:space="preserve">time </t>
        </is>
      </c>
      <c r="B3955">
        <f>VLOOKUP(2662,Requirements!A2:B2967,2,FALSE)</f>
        <v/>
      </c>
    </row>
    <row r="3956">
      <c r="A3956" t="inlineStr">
        <is>
          <t xml:space="preserve">time </t>
        </is>
      </c>
      <c r="B3956">
        <f>VLOOKUP(2665,Requirements!A2:B2967,2,FALSE)</f>
        <v/>
      </c>
    </row>
    <row r="3957">
      <c r="A3957" t="inlineStr">
        <is>
          <t xml:space="preserve">time </t>
        </is>
      </c>
      <c r="B3957">
        <f>VLOOKUP(2691,Requirements!A2:B2967,2,FALSE)</f>
        <v/>
      </c>
    </row>
    <row r="3958">
      <c r="A3958" t="inlineStr">
        <is>
          <t xml:space="preserve">time </t>
        </is>
      </c>
      <c r="B3958">
        <f>VLOOKUP(2695,Requirements!A2:B2967,2,FALSE)</f>
        <v/>
      </c>
    </row>
    <row r="3959">
      <c r="A3959" t="inlineStr">
        <is>
          <t xml:space="preserve">time </t>
        </is>
      </c>
      <c r="B3959">
        <f>VLOOKUP(2700,Requirements!A2:B2967,2,FALSE)</f>
        <v/>
      </c>
    </row>
    <row r="3960">
      <c r="A3960" t="inlineStr">
        <is>
          <t xml:space="preserve">time </t>
        </is>
      </c>
      <c r="B3960">
        <f>VLOOKUP(2711,Requirements!A2:B2967,2,FALSE)</f>
        <v/>
      </c>
    </row>
    <row r="3961">
      <c r="A3961" t="inlineStr">
        <is>
          <t xml:space="preserve">time </t>
        </is>
      </c>
      <c r="B3961">
        <f>VLOOKUP(2735,Requirements!A2:B2967,2,FALSE)</f>
        <v/>
      </c>
    </row>
    <row r="3962">
      <c r="A3962" t="inlineStr">
        <is>
          <t xml:space="preserve">time </t>
        </is>
      </c>
      <c r="B3962">
        <f>VLOOKUP(2755,Requirements!A2:B2967,2,FALSE)</f>
        <v/>
      </c>
    </row>
    <row r="3963">
      <c r="A3963" t="inlineStr">
        <is>
          <t xml:space="preserve">time </t>
        </is>
      </c>
      <c r="B3963">
        <f>VLOOKUP(2761,Requirements!A2:B2967,2,FALSE)</f>
        <v/>
      </c>
    </row>
    <row r="3964">
      <c r="A3964" t="inlineStr">
        <is>
          <t xml:space="preserve">time </t>
        </is>
      </c>
      <c r="B3964">
        <f>VLOOKUP(2830,Requirements!A2:B2967,2,FALSE)</f>
        <v/>
      </c>
    </row>
    <row r="3965">
      <c r="A3965" t="inlineStr">
        <is>
          <t xml:space="preserve">time </t>
        </is>
      </c>
      <c r="B3965">
        <f>VLOOKUP(2858,Requirements!A2:B2967,2,FALSE)</f>
        <v/>
      </c>
    </row>
    <row r="3966">
      <c r="A3966" t="inlineStr">
        <is>
          <t xml:space="preserve">time </t>
        </is>
      </c>
      <c r="B3966">
        <f>VLOOKUP(2881,Requirements!A2:B2967,2,FALSE)</f>
        <v/>
      </c>
    </row>
    <row r="3967">
      <c r="A3967" t="inlineStr">
        <is>
          <t xml:space="preserve">time </t>
        </is>
      </c>
      <c r="B3967">
        <f>VLOOKUP(2895,Requirements!A2:B2967,2,FALSE)</f>
        <v/>
      </c>
    </row>
    <row r="3968">
      <c r="A3968" t="inlineStr">
        <is>
          <t xml:space="preserve">time </t>
        </is>
      </c>
      <c r="B3968">
        <f>VLOOKUP(2897,Requirements!A2:B2967,2,FALSE)</f>
        <v/>
      </c>
    </row>
    <row r="3969">
      <c r="A3969" t="inlineStr">
        <is>
          <t xml:space="preserve">time </t>
        </is>
      </c>
      <c r="B3969">
        <f>VLOOKUP(2904,Requirements!A2:B2967,2,FALSE)</f>
        <v/>
      </c>
    </row>
    <row r="3970">
      <c r="A3970" t="inlineStr">
        <is>
          <t xml:space="preserve">time </t>
        </is>
      </c>
      <c r="B3970">
        <f>VLOOKUP(2915,Requirements!A2:B2967,2,FALSE)</f>
        <v/>
      </c>
    </row>
    <row r="3971">
      <c r="A3971" t="inlineStr">
        <is>
          <t xml:space="preserve">time </t>
        </is>
      </c>
      <c r="B3971">
        <f>VLOOKUP(2917,Requirements!A2:B2967,2,FALSE)</f>
        <v/>
      </c>
    </row>
    <row r="3972">
      <c r="A3972" t="inlineStr">
        <is>
          <t xml:space="preserve">time </t>
        </is>
      </c>
      <c r="B3972">
        <f>VLOOKUP(2918,Requirements!A2:B2967,2,FALSE)</f>
        <v/>
      </c>
    </row>
    <row r="3973">
      <c r="A3973" t="inlineStr">
        <is>
          <t xml:space="preserve">time </t>
        </is>
      </c>
      <c r="B3973">
        <f>VLOOKUP(2933,Requirements!A2:B2967,2,FALSE)</f>
        <v/>
      </c>
    </row>
    <row r="3974">
      <c r="A3974" t="inlineStr">
        <is>
          <t xml:space="preserve">time </t>
        </is>
      </c>
      <c r="B3974">
        <f>VLOOKUP(2952,Requirements!A2:B2967,2,FALSE)</f>
        <v/>
      </c>
    </row>
    <row r="3975">
      <c r="A3975" t="inlineStr">
        <is>
          <t xml:space="preserve">time </t>
        </is>
      </c>
      <c r="B3975">
        <f>VLOOKUP(2954,Requirements!A2:B2967,2,FALSE)</f>
        <v/>
      </c>
    </row>
    <row r="3976">
      <c r="A3976" t="inlineStr">
        <is>
          <t xml:space="preserve">time </t>
        </is>
      </c>
      <c r="B3976">
        <f>VLOOKUP(2966,Requirements!A2:B2967,2,FALSE)</f>
        <v/>
      </c>
    </row>
    <row r="3977">
      <c r="A3977" t="inlineStr">
        <is>
          <t xml:space="preserve">time </t>
        </is>
      </c>
      <c r="B3977">
        <f>VLOOKUP(2977,Requirements!A2:B2967,2,FALSE)</f>
        <v/>
      </c>
    </row>
    <row r="3978">
      <c r="A3978" t="inlineStr">
        <is>
          <t xml:space="preserve">time </t>
        </is>
      </c>
      <c r="B3978">
        <f>VLOOKUP(2989,Requirements!A2:B2967,2,FALSE)</f>
        <v/>
      </c>
    </row>
    <row r="3979">
      <c r="A3979" t="inlineStr">
        <is>
          <t xml:space="preserve">time </t>
        </is>
      </c>
      <c r="B3979">
        <f>VLOOKUP(2993,Requirements!A2:B2967,2,FALSE)</f>
        <v/>
      </c>
    </row>
    <row r="3980">
      <c r="A3980" t="inlineStr">
        <is>
          <t xml:space="preserve">time </t>
        </is>
      </c>
      <c r="B3980">
        <f>VLOOKUP(3031,Requirements!A2:B2967,2,FALSE)</f>
        <v/>
      </c>
    </row>
    <row r="3981">
      <c r="A3981" t="inlineStr">
        <is>
          <t xml:space="preserve">time </t>
        </is>
      </c>
      <c r="B3981">
        <f>VLOOKUP(3035,Requirements!A2:B2967,2,FALSE)</f>
        <v/>
      </c>
    </row>
    <row r="3982">
      <c r="A3982" t="inlineStr">
        <is>
          <t xml:space="preserve">time </t>
        </is>
      </c>
      <c r="B3982">
        <f>VLOOKUP(3043,Requirements!A2:B2967,2,FALSE)</f>
        <v/>
      </c>
    </row>
    <row r="3983">
      <c r="A3983" t="inlineStr">
        <is>
          <t xml:space="preserve">time </t>
        </is>
      </c>
      <c r="B3983">
        <f>VLOOKUP(3048,Requirements!A2:B2967,2,FALSE)</f>
        <v/>
      </c>
    </row>
    <row r="3984">
      <c r="A3984" t="inlineStr">
        <is>
          <t xml:space="preserve">time </t>
        </is>
      </c>
      <c r="B3984">
        <f>VLOOKUP(3057,Requirements!A2:B2967,2,FALSE)</f>
        <v/>
      </c>
    </row>
    <row r="3985">
      <c r="A3985" t="inlineStr">
        <is>
          <t xml:space="preserve">time </t>
        </is>
      </c>
      <c r="B3985">
        <f>VLOOKUP(3068,Requirements!A2:B2967,2,FALSE)</f>
        <v/>
      </c>
    </row>
    <row r="3986">
      <c r="A3986" t="inlineStr">
        <is>
          <t xml:space="preserve">time </t>
        </is>
      </c>
      <c r="B3986">
        <f>VLOOKUP(3075,Requirements!A2:B2967,2,FALSE)</f>
        <v/>
      </c>
    </row>
    <row r="3987">
      <c r="A3987" t="inlineStr">
        <is>
          <t xml:space="preserve">time </t>
        </is>
      </c>
      <c r="B3987">
        <f>VLOOKUP(3086,Requirements!A2:B2967,2,FALSE)</f>
        <v/>
      </c>
    </row>
    <row r="3988">
      <c r="A3988" t="inlineStr">
        <is>
          <t xml:space="preserve">time </t>
        </is>
      </c>
      <c r="B3988">
        <f>VLOOKUP(3098,Requirements!A2:B2967,2,FALSE)</f>
        <v/>
      </c>
    </row>
    <row r="3989">
      <c r="A3989" t="inlineStr">
        <is>
          <t xml:space="preserve">time </t>
        </is>
      </c>
      <c r="B3989">
        <f>VLOOKUP(3100,Requirements!A2:B2967,2,FALSE)</f>
        <v/>
      </c>
    </row>
    <row r="3990">
      <c r="A3990" t="inlineStr">
        <is>
          <t xml:space="preserve">time </t>
        </is>
      </c>
      <c r="B3990">
        <f>VLOOKUP(3112,Requirements!A2:B2967,2,FALSE)</f>
        <v/>
      </c>
    </row>
    <row r="3991">
      <c r="A3991" t="inlineStr">
        <is>
          <t xml:space="preserve">time </t>
        </is>
      </c>
      <c r="B3991">
        <f>VLOOKUP(3120,Requirements!A2:B2967,2,FALSE)</f>
        <v/>
      </c>
    </row>
    <row r="3992">
      <c r="A3992" t="inlineStr">
        <is>
          <t xml:space="preserve">time </t>
        </is>
      </c>
      <c r="B3992">
        <f>VLOOKUP(3127,Requirements!A2:B2967,2,FALSE)</f>
        <v/>
      </c>
    </row>
    <row r="3993">
      <c r="A3993" t="inlineStr">
        <is>
          <t xml:space="preserve">time </t>
        </is>
      </c>
      <c r="B3993">
        <f>VLOOKUP(3135,Requirements!A2:B2967,2,FALSE)</f>
        <v/>
      </c>
    </row>
    <row r="3994">
      <c r="A3994" t="inlineStr">
        <is>
          <t xml:space="preserve">time </t>
        </is>
      </c>
      <c r="B3994">
        <f>VLOOKUP(3142,Requirements!A2:B2967,2,FALSE)</f>
        <v/>
      </c>
    </row>
    <row r="3995">
      <c r="A3995" t="inlineStr">
        <is>
          <t xml:space="preserve">time </t>
        </is>
      </c>
      <c r="B3995">
        <f>VLOOKUP(3158,Requirements!A2:B2967,2,FALSE)</f>
        <v/>
      </c>
    </row>
    <row r="3996">
      <c r="A3996" t="inlineStr">
        <is>
          <t xml:space="preserve">time </t>
        </is>
      </c>
      <c r="B3996">
        <f>VLOOKUP(3191,Requirements!A2:B2967,2,FALSE)</f>
        <v/>
      </c>
    </row>
    <row r="3997">
      <c r="A3997" t="inlineStr">
        <is>
          <t xml:space="preserve">time </t>
        </is>
      </c>
      <c r="B3997">
        <f>VLOOKUP(3244,Requirements!A2:B2967,2,FALSE)</f>
        <v/>
      </c>
    </row>
    <row r="3998">
      <c r="A3998" t="inlineStr">
        <is>
          <t xml:space="preserve">time </t>
        </is>
      </c>
      <c r="B3998">
        <f>VLOOKUP(3265,Requirements!A2:B2967,2,FALSE)</f>
        <v/>
      </c>
    </row>
    <row r="3999">
      <c r="A3999" t="inlineStr">
        <is>
          <t xml:space="preserve">time </t>
        </is>
      </c>
      <c r="B3999">
        <f>VLOOKUP(3276,Requirements!A2:B2967,2,FALSE)</f>
        <v/>
      </c>
    </row>
    <row r="4000">
      <c r="A4000" t="inlineStr">
        <is>
          <t xml:space="preserve">wake </t>
        </is>
      </c>
      <c r="B4000">
        <f>VLOOKUP(25,Requirements!A2:B2967,2,FALSE)</f>
        <v/>
      </c>
    </row>
    <row r="4001">
      <c r="A4001" t="inlineStr">
        <is>
          <t xml:space="preserve">wake </t>
        </is>
      </c>
      <c r="B4001">
        <f>VLOOKUP(163,Requirements!A2:B2967,2,FALSE)</f>
        <v/>
      </c>
    </row>
    <row r="4002">
      <c r="A4002" t="inlineStr">
        <is>
          <t xml:space="preserve">wake </t>
        </is>
      </c>
      <c r="B4002">
        <f>VLOOKUP(225,Requirements!A2:B2967,2,FALSE)</f>
        <v/>
      </c>
    </row>
    <row r="4003">
      <c r="A4003" t="inlineStr">
        <is>
          <t xml:space="preserve">wake </t>
        </is>
      </c>
      <c r="B4003">
        <f>VLOOKUP(261,Requirements!A2:B2967,2,FALSE)</f>
        <v/>
      </c>
    </row>
    <row r="4004">
      <c r="A4004" t="inlineStr">
        <is>
          <t xml:space="preserve">wake </t>
        </is>
      </c>
      <c r="B4004">
        <f>VLOOKUP(348,Requirements!A2:B2967,2,FALSE)</f>
        <v/>
      </c>
    </row>
    <row r="4005">
      <c r="A4005" t="inlineStr">
        <is>
          <t xml:space="preserve">wake </t>
        </is>
      </c>
      <c r="B4005">
        <f>VLOOKUP(363,Requirements!A2:B2967,2,FALSE)</f>
        <v/>
      </c>
    </row>
    <row r="4006">
      <c r="A4006" t="inlineStr">
        <is>
          <t xml:space="preserve">wake </t>
        </is>
      </c>
      <c r="B4006">
        <f>VLOOKUP(417,Requirements!A2:B2967,2,FALSE)</f>
        <v/>
      </c>
    </row>
    <row r="4007">
      <c r="A4007" t="inlineStr">
        <is>
          <t xml:space="preserve">wake </t>
        </is>
      </c>
      <c r="B4007">
        <f>VLOOKUP(460,Requirements!A2:B2967,2,FALSE)</f>
        <v/>
      </c>
    </row>
    <row r="4008">
      <c r="A4008" t="inlineStr">
        <is>
          <t xml:space="preserve">wake </t>
        </is>
      </c>
      <c r="B4008">
        <f>VLOOKUP(529,Requirements!A2:B2967,2,FALSE)</f>
        <v/>
      </c>
    </row>
    <row r="4009">
      <c r="A4009" t="inlineStr">
        <is>
          <t xml:space="preserve">wake </t>
        </is>
      </c>
      <c r="B4009">
        <f>VLOOKUP(563,Requirements!A2:B2967,2,FALSE)</f>
        <v/>
      </c>
    </row>
    <row r="4010">
      <c r="A4010" t="inlineStr">
        <is>
          <t xml:space="preserve">wake </t>
        </is>
      </c>
      <c r="B4010">
        <f>VLOOKUP(579,Requirements!A2:B2967,2,FALSE)</f>
        <v/>
      </c>
    </row>
    <row r="4011">
      <c r="A4011" t="inlineStr">
        <is>
          <t xml:space="preserve">wake </t>
        </is>
      </c>
      <c r="B4011">
        <f>VLOOKUP(658,Requirements!A2:B2967,2,FALSE)</f>
        <v/>
      </c>
    </row>
    <row r="4012">
      <c r="A4012" t="inlineStr">
        <is>
          <t xml:space="preserve">wake </t>
        </is>
      </c>
      <c r="B4012">
        <f>VLOOKUP(769,Requirements!A2:B2967,2,FALSE)</f>
        <v/>
      </c>
    </row>
    <row r="4013">
      <c r="A4013" t="inlineStr">
        <is>
          <t xml:space="preserve">wake </t>
        </is>
      </c>
      <c r="B4013">
        <f>VLOOKUP(793,Requirements!A2:B2967,2,FALSE)</f>
        <v/>
      </c>
    </row>
    <row r="4014">
      <c r="A4014" t="inlineStr">
        <is>
          <t xml:space="preserve">wake </t>
        </is>
      </c>
      <c r="B4014">
        <f>VLOOKUP(978,Requirements!A2:B2967,2,FALSE)</f>
        <v/>
      </c>
    </row>
    <row r="4015">
      <c r="A4015" t="inlineStr">
        <is>
          <t xml:space="preserve">wake </t>
        </is>
      </c>
      <c r="B4015">
        <f>VLOOKUP(1003,Requirements!A2:B2967,2,FALSE)</f>
        <v/>
      </c>
    </row>
    <row r="4016">
      <c r="A4016" t="inlineStr">
        <is>
          <t xml:space="preserve">wake </t>
        </is>
      </c>
      <c r="B4016">
        <f>VLOOKUP(1108,Requirements!A2:B2967,2,FALSE)</f>
        <v/>
      </c>
    </row>
    <row r="4017">
      <c r="A4017" t="inlineStr">
        <is>
          <t xml:space="preserve">wake </t>
        </is>
      </c>
      <c r="B4017">
        <f>VLOOKUP(1128,Requirements!A2:B2967,2,FALSE)</f>
        <v/>
      </c>
    </row>
    <row r="4018">
      <c r="A4018" t="inlineStr">
        <is>
          <t xml:space="preserve">wake </t>
        </is>
      </c>
      <c r="B4018">
        <f>VLOOKUP(1172,Requirements!A2:B2967,2,FALSE)</f>
        <v/>
      </c>
    </row>
    <row r="4019">
      <c r="A4019" t="inlineStr">
        <is>
          <t xml:space="preserve">wake </t>
        </is>
      </c>
      <c r="B4019">
        <f>VLOOKUP(1192,Requirements!A2:B2967,2,FALSE)</f>
        <v/>
      </c>
    </row>
    <row r="4020">
      <c r="A4020" t="inlineStr">
        <is>
          <t xml:space="preserve">wake </t>
        </is>
      </c>
      <c r="B4020">
        <f>VLOOKUP(1193,Requirements!A2:B2967,2,FALSE)</f>
        <v/>
      </c>
    </row>
    <row r="4021">
      <c r="A4021" t="inlineStr">
        <is>
          <t xml:space="preserve">wake </t>
        </is>
      </c>
      <c r="B4021">
        <f>VLOOKUP(1279,Requirements!A2:B2967,2,FALSE)</f>
        <v/>
      </c>
    </row>
    <row r="4022">
      <c r="A4022" t="inlineStr">
        <is>
          <t xml:space="preserve">wake </t>
        </is>
      </c>
      <c r="B4022">
        <f>VLOOKUP(1288,Requirements!A2:B2967,2,FALSE)</f>
        <v/>
      </c>
    </row>
    <row r="4023">
      <c r="A4023" t="inlineStr">
        <is>
          <t xml:space="preserve">wake </t>
        </is>
      </c>
      <c r="B4023">
        <f>VLOOKUP(1294,Requirements!A2:B2967,2,FALSE)</f>
        <v/>
      </c>
    </row>
    <row r="4024">
      <c r="A4024" t="inlineStr">
        <is>
          <t xml:space="preserve">wake </t>
        </is>
      </c>
      <c r="B4024">
        <f>VLOOKUP(1369,Requirements!A2:B2967,2,FALSE)</f>
        <v/>
      </c>
    </row>
    <row r="4025">
      <c r="A4025" t="inlineStr">
        <is>
          <t xml:space="preserve">wake </t>
        </is>
      </c>
      <c r="B4025">
        <f>VLOOKUP(1423,Requirements!A2:B2967,2,FALSE)</f>
        <v/>
      </c>
    </row>
    <row r="4026">
      <c r="A4026" t="inlineStr">
        <is>
          <t xml:space="preserve">wake </t>
        </is>
      </c>
      <c r="B4026">
        <f>VLOOKUP(1635,Requirements!A2:B2967,2,FALSE)</f>
        <v/>
      </c>
    </row>
    <row r="4027">
      <c r="A4027" t="inlineStr">
        <is>
          <t xml:space="preserve">wake </t>
        </is>
      </c>
      <c r="B4027">
        <f>VLOOKUP(1686,Requirements!A2:B2967,2,FALSE)</f>
        <v/>
      </c>
    </row>
    <row r="4028">
      <c r="A4028" t="inlineStr">
        <is>
          <t xml:space="preserve">wake </t>
        </is>
      </c>
      <c r="B4028">
        <f>VLOOKUP(1705,Requirements!A2:B2967,2,FALSE)</f>
        <v/>
      </c>
    </row>
    <row r="4029">
      <c r="A4029" t="inlineStr">
        <is>
          <t xml:space="preserve">wake </t>
        </is>
      </c>
      <c r="B4029">
        <f>VLOOKUP(1715,Requirements!A2:B2967,2,FALSE)</f>
        <v/>
      </c>
    </row>
    <row r="4030">
      <c r="A4030" t="inlineStr">
        <is>
          <t xml:space="preserve">wake </t>
        </is>
      </c>
      <c r="B4030">
        <f>VLOOKUP(1808,Requirements!A2:B2967,2,FALSE)</f>
        <v/>
      </c>
    </row>
    <row r="4031">
      <c r="A4031" t="inlineStr">
        <is>
          <t xml:space="preserve">wake </t>
        </is>
      </c>
      <c r="B4031">
        <f>VLOOKUP(1930,Requirements!A2:B2967,2,FALSE)</f>
        <v/>
      </c>
    </row>
    <row r="4032">
      <c r="A4032" t="inlineStr">
        <is>
          <t xml:space="preserve">wake </t>
        </is>
      </c>
      <c r="B4032">
        <f>VLOOKUP(1989,Requirements!A2:B2967,2,FALSE)</f>
        <v/>
      </c>
    </row>
    <row r="4033">
      <c r="A4033" t="inlineStr">
        <is>
          <t xml:space="preserve">wake </t>
        </is>
      </c>
      <c r="B4033">
        <f>VLOOKUP(2043,Requirements!A2:B2967,2,FALSE)</f>
        <v/>
      </c>
    </row>
    <row r="4034">
      <c r="A4034" t="inlineStr">
        <is>
          <t xml:space="preserve">wake </t>
        </is>
      </c>
      <c r="B4034">
        <f>VLOOKUP(2121,Requirements!A2:B2967,2,FALSE)</f>
        <v/>
      </c>
    </row>
    <row r="4035">
      <c r="A4035" t="inlineStr">
        <is>
          <t xml:space="preserve">wake </t>
        </is>
      </c>
      <c r="B4035">
        <f>VLOOKUP(2170,Requirements!A2:B2967,2,FALSE)</f>
        <v/>
      </c>
    </row>
    <row r="4036">
      <c r="A4036" t="inlineStr">
        <is>
          <t xml:space="preserve">wake </t>
        </is>
      </c>
      <c r="B4036">
        <f>VLOOKUP(2248,Requirements!A2:B2967,2,FALSE)</f>
        <v/>
      </c>
    </row>
    <row r="4037">
      <c r="A4037" t="inlineStr">
        <is>
          <t xml:space="preserve">wake </t>
        </is>
      </c>
      <c r="B4037">
        <f>VLOOKUP(2414,Requirements!A2:B2967,2,FALSE)</f>
        <v/>
      </c>
    </row>
    <row r="4038">
      <c r="A4038" t="inlineStr">
        <is>
          <t xml:space="preserve">wake </t>
        </is>
      </c>
      <c r="B4038">
        <f>VLOOKUP(2559,Requirements!A2:B2967,2,FALSE)</f>
        <v/>
      </c>
    </row>
    <row r="4039">
      <c r="A4039" t="inlineStr">
        <is>
          <t xml:space="preserve">wake </t>
        </is>
      </c>
      <c r="B4039">
        <f>VLOOKUP(2565,Requirements!A2:B2967,2,FALSE)</f>
        <v/>
      </c>
    </row>
    <row r="4040">
      <c r="A4040" t="inlineStr">
        <is>
          <t xml:space="preserve">wake </t>
        </is>
      </c>
      <c r="B4040">
        <f>VLOOKUP(2761,Requirements!A2:B2967,2,FALSE)</f>
        <v/>
      </c>
    </row>
    <row r="4041">
      <c r="A4041" t="inlineStr">
        <is>
          <t xml:space="preserve">wake </t>
        </is>
      </c>
      <c r="B4041">
        <f>VLOOKUP(2826,Requirements!A2:B2967,2,FALSE)</f>
        <v/>
      </c>
    </row>
    <row r="4042">
      <c r="A4042" t="inlineStr">
        <is>
          <t xml:space="preserve">wake </t>
        </is>
      </c>
      <c r="B4042">
        <f>VLOOKUP(2837,Requirements!A2:B2967,2,FALSE)</f>
        <v/>
      </c>
    </row>
    <row r="4043">
      <c r="A4043" t="inlineStr">
        <is>
          <t xml:space="preserve">wake </t>
        </is>
      </c>
      <c r="B4043">
        <f>VLOOKUP(2869,Requirements!A2:B2967,2,FALSE)</f>
        <v/>
      </c>
    </row>
    <row r="4044">
      <c r="A4044" t="inlineStr">
        <is>
          <t xml:space="preserve">wake </t>
        </is>
      </c>
      <c r="B4044">
        <f>VLOOKUP(2915,Requirements!A2:B2967,2,FALSE)</f>
        <v/>
      </c>
    </row>
    <row r="4045">
      <c r="A4045" t="inlineStr">
        <is>
          <t xml:space="preserve">wake </t>
        </is>
      </c>
      <c r="B4045">
        <f>VLOOKUP(2925,Requirements!A2:B2967,2,FALSE)</f>
        <v/>
      </c>
    </row>
    <row r="4046">
      <c r="A4046" t="inlineStr">
        <is>
          <t xml:space="preserve">wake </t>
        </is>
      </c>
      <c r="B4046">
        <f>VLOOKUP(2960,Requirements!A2:B2967,2,FALSE)</f>
        <v/>
      </c>
    </row>
    <row r="4047">
      <c r="A4047" t="inlineStr">
        <is>
          <t xml:space="preserve">wake </t>
        </is>
      </c>
      <c r="B4047">
        <f>VLOOKUP(3043,Requirements!A2:B2967,2,FALSE)</f>
        <v/>
      </c>
    </row>
    <row r="4048">
      <c r="A4048" t="inlineStr">
        <is>
          <t xml:space="preserve">wake </t>
        </is>
      </c>
      <c r="B4048">
        <f>VLOOKUP(3114,Requirements!A2:B2967,2,FALSE)</f>
        <v/>
      </c>
    </row>
    <row r="4049">
      <c r="A4049" t="inlineStr">
        <is>
          <t xml:space="preserve">wake </t>
        </is>
      </c>
      <c r="B4049">
        <f>VLOOKUP(3141,Requirements!A2:B2967,2,FALSE)</f>
        <v/>
      </c>
    </row>
    <row r="4050">
      <c r="A4050" t="inlineStr">
        <is>
          <t xml:space="preserve">wake </t>
        </is>
      </c>
      <c r="B4050">
        <f>VLOOKUP(3224,Requirements!A2:B2967,2,FALSE)</f>
        <v/>
      </c>
    </row>
    <row r="4051">
      <c r="A4051" t="inlineStr">
        <is>
          <t xml:space="preserve">wake </t>
        </is>
      </c>
      <c r="B4051">
        <f>VLOOKUP(3231,Requirements!A2:B2967,2,FALSE)</f>
        <v/>
      </c>
    </row>
    <row r="4052">
      <c r="A4052" t="inlineStr">
        <is>
          <t xml:space="preserve">amount </t>
        </is>
      </c>
      <c r="B4052">
        <f>VLOOKUP(26,Requirements!A2:B2967,2,FALSE)</f>
        <v/>
      </c>
    </row>
    <row r="4053">
      <c r="A4053" t="inlineStr">
        <is>
          <t xml:space="preserve">amount </t>
        </is>
      </c>
      <c r="B4053">
        <f>VLOOKUP(103,Requirements!A2:B2967,2,FALSE)</f>
        <v/>
      </c>
    </row>
    <row r="4054">
      <c r="A4054" t="inlineStr">
        <is>
          <t xml:space="preserve">amount </t>
        </is>
      </c>
      <c r="B4054">
        <f>VLOOKUP(286,Requirements!A2:B2967,2,FALSE)</f>
        <v/>
      </c>
    </row>
    <row r="4055">
      <c r="A4055" t="inlineStr">
        <is>
          <t xml:space="preserve">amount </t>
        </is>
      </c>
      <c r="B4055">
        <f>VLOOKUP(447,Requirements!A2:B2967,2,FALSE)</f>
        <v/>
      </c>
    </row>
    <row r="4056">
      <c r="A4056" t="inlineStr">
        <is>
          <t xml:space="preserve">amount </t>
        </is>
      </c>
      <c r="B4056">
        <f>VLOOKUP(541,Requirements!A2:B2967,2,FALSE)</f>
        <v/>
      </c>
    </row>
    <row r="4057">
      <c r="A4057" t="inlineStr">
        <is>
          <t xml:space="preserve">amount </t>
        </is>
      </c>
      <c r="B4057">
        <f>VLOOKUP(627,Requirements!A2:B2967,2,FALSE)</f>
        <v/>
      </c>
    </row>
    <row r="4058">
      <c r="A4058" t="inlineStr">
        <is>
          <t xml:space="preserve">amount </t>
        </is>
      </c>
      <c r="B4058">
        <f>VLOOKUP(635,Requirements!A2:B2967,2,FALSE)</f>
        <v/>
      </c>
    </row>
    <row r="4059">
      <c r="A4059" t="inlineStr">
        <is>
          <t xml:space="preserve">amount </t>
        </is>
      </c>
      <c r="B4059">
        <f>VLOOKUP(701,Requirements!A2:B2967,2,FALSE)</f>
        <v/>
      </c>
    </row>
    <row r="4060">
      <c r="A4060" t="inlineStr">
        <is>
          <t xml:space="preserve">amount </t>
        </is>
      </c>
      <c r="B4060">
        <f>VLOOKUP(711,Requirements!A2:B2967,2,FALSE)</f>
        <v/>
      </c>
    </row>
    <row r="4061">
      <c r="A4061" t="inlineStr">
        <is>
          <t xml:space="preserve">amount </t>
        </is>
      </c>
      <c r="B4061">
        <f>VLOOKUP(740,Requirements!A2:B2967,2,FALSE)</f>
        <v/>
      </c>
    </row>
    <row r="4062">
      <c r="A4062" t="inlineStr">
        <is>
          <t xml:space="preserve">amount </t>
        </is>
      </c>
      <c r="B4062">
        <f>VLOOKUP(786,Requirements!A2:B2967,2,FALSE)</f>
        <v/>
      </c>
    </row>
    <row r="4063">
      <c r="A4063" t="inlineStr">
        <is>
          <t xml:space="preserve">amount </t>
        </is>
      </c>
      <c r="B4063">
        <f>VLOOKUP(860,Requirements!A2:B2967,2,FALSE)</f>
        <v/>
      </c>
    </row>
    <row r="4064">
      <c r="A4064" t="inlineStr">
        <is>
          <t xml:space="preserve">amount </t>
        </is>
      </c>
      <c r="B4064">
        <f>VLOOKUP(1013,Requirements!A2:B2967,2,FALSE)</f>
        <v/>
      </c>
    </row>
    <row r="4065">
      <c r="A4065" t="inlineStr">
        <is>
          <t xml:space="preserve">amount </t>
        </is>
      </c>
      <c r="B4065">
        <f>VLOOKUP(1056,Requirements!A2:B2967,2,FALSE)</f>
        <v/>
      </c>
    </row>
    <row r="4066">
      <c r="A4066" t="inlineStr">
        <is>
          <t xml:space="preserve">amount </t>
        </is>
      </c>
      <c r="B4066">
        <f>VLOOKUP(1490,Requirements!A2:B2967,2,FALSE)</f>
        <v/>
      </c>
    </row>
    <row r="4067">
      <c r="A4067" t="inlineStr">
        <is>
          <t xml:space="preserve">amount </t>
        </is>
      </c>
      <c r="B4067">
        <f>VLOOKUP(1767,Requirements!A2:B2967,2,FALSE)</f>
        <v/>
      </c>
    </row>
    <row r="4068">
      <c r="A4068" t="inlineStr">
        <is>
          <t xml:space="preserve">amount </t>
        </is>
      </c>
      <c r="B4068">
        <f>VLOOKUP(1775,Requirements!A2:B2967,2,FALSE)</f>
        <v/>
      </c>
    </row>
    <row r="4069">
      <c r="A4069" t="inlineStr">
        <is>
          <t xml:space="preserve">amount </t>
        </is>
      </c>
      <c r="B4069">
        <f>VLOOKUP(1780,Requirements!A2:B2967,2,FALSE)</f>
        <v/>
      </c>
    </row>
    <row r="4070">
      <c r="A4070" t="inlineStr">
        <is>
          <t xml:space="preserve">amount </t>
        </is>
      </c>
      <c r="B4070">
        <f>VLOOKUP(1784,Requirements!A2:B2967,2,FALSE)</f>
        <v/>
      </c>
    </row>
    <row r="4071">
      <c r="A4071" t="inlineStr">
        <is>
          <t xml:space="preserve">amount </t>
        </is>
      </c>
      <c r="B4071">
        <f>VLOOKUP(1942,Requirements!A2:B2967,2,FALSE)</f>
        <v/>
      </c>
    </row>
    <row r="4072">
      <c r="A4072" t="inlineStr">
        <is>
          <t xml:space="preserve">amount </t>
        </is>
      </c>
      <c r="B4072">
        <f>VLOOKUP(2052,Requirements!A2:B2967,2,FALSE)</f>
        <v/>
      </c>
    </row>
    <row r="4073">
      <c r="A4073" t="inlineStr">
        <is>
          <t xml:space="preserve">amount </t>
        </is>
      </c>
      <c r="B4073">
        <f>VLOOKUP(2076,Requirements!A2:B2967,2,FALSE)</f>
        <v/>
      </c>
    </row>
    <row r="4074">
      <c r="A4074" t="inlineStr">
        <is>
          <t xml:space="preserve">amount </t>
        </is>
      </c>
      <c r="B4074">
        <f>VLOOKUP(2220,Requirements!A2:B2967,2,FALSE)</f>
        <v/>
      </c>
    </row>
    <row r="4075">
      <c r="A4075" t="inlineStr">
        <is>
          <t xml:space="preserve">amount </t>
        </is>
      </c>
      <c r="B4075">
        <f>VLOOKUP(2587,Requirements!A2:B2967,2,FALSE)</f>
        <v/>
      </c>
    </row>
    <row r="4076">
      <c r="A4076" t="inlineStr">
        <is>
          <t xml:space="preserve">amount </t>
        </is>
      </c>
      <c r="B4076">
        <f>VLOOKUP(2662,Requirements!A2:B2967,2,FALSE)</f>
        <v/>
      </c>
    </row>
    <row r="4077">
      <c r="A4077" t="inlineStr">
        <is>
          <t xml:space="preserve">amount </t>
        </is>
      </c>
      <c r="B4077">
        <f>VLOOKUP(2745,Requirements!A2:B2967,2,FALSE)</f>
        <v/>
      </c>
    </row>
    <row r="4078">
      <c r="A4078" t="inlineStr">
        <is>
          <t xml:space="preserve">amount </t>
        </is>
      </c>
      <c r="B4078">
        <f>VLOOKUP(2793,Requirements!A2:B2967,2,FALSE)</f>
        <v/>
      </c>
    </row>
    <row r="4079">
      <c r="A4079" t="inlineStr">
        <is>
          <t xml:space="preserve">amount </t>
        </is>
      </c>
      <c r="B4079">
        <f>VLOOKUP(2900,Requirements!A2:B2967,2,FALSE)</f>
        <v/>
      </c>
    </row>
    <row r="4080">
      <c r="A4080" t="inlineStr">
        <is>
          <t xml:space="preserve">amount </t>
        </is>
      </c>
      <c r="B4080">
        <f>VLOOKUP(2907,Requirements!A2:B2967,2,FALSE)</f>
        <v/>
      </c>
    </row>
    <row r="4081">
      <c r="A4081" t="inlineStr">
        <is>
          <t xml:space="preserve">amount </t>
        </is>
      </c>
      <c r="B4081">
        <f>VLOOKUP(2988,Requirements!A2:B2967,2,FALSE)</f>
        <v/>
      </c>
    </row>
    <row r="4082">
      <c r="A4082" t="inlineStr">
        <is>
          <t xml:space="preserve">amount </t>
        </is>
      </c>
      <c r="B4082">
        <f>VLOOKUP(2989,Requirements!A2:B2967,2,FALSE)</f>
        <v/>
      </c>
    </row>
    <row r="4083">
      <c r="A4083" t="inlineStr">
        <is>
          <t xml:space="preserve">amount </t>
        </is>
      </c>
      <c r="B4083">
        <f>VLOOKUP(3138,Requirements!A2:B2967,2,FALSE)</f>
        <v/>
      </c>
    </row>
    <row r="4084">
      <c r="A4084" t="inlineStr">
        <is>
          <t xml:space="preserve">door </t>
        </is>
      </c>
      <c r="B4084">
        <f>VLOOKUP(27,Requirements!A2:B2967,2,FALSE)</f>
        <v/>
      </c>
    </row>
    <row r="4085">
      <c r="A4085" t="inlineStr">
        <is>
          <t xml:space="preserve">door </t>
        </is>
      </c>
      <c r="B4085">
        <f>VLOOKUP(64,Requirements!A2:B2967,2,FALSE)</f>
        <v/>
      </c>
    </row>
    <row r="4086">
      <c r="A4086" t="inlineStr">
        <is>
          <t xml:space="preserve">door </t>
        </is>
      </c>
      <c r="B4086">
        <f>VLOOKUP(130,Requirements!A2:B2967,2,FALSE)</f>
        <v/>
      </c>
    </row>
    <row r="4087">
      <c r="A4087" t="inlineStr">
        <is>
          <t xml:space="preserve">door </t>
        </is>
      </c>
      <c r="B4087">
        <f>VLOOKUP(180,Requirements!A2:B2967,2,FALSE)</f>
        <v/>
      </c>
    </row>
    <row r="4088">
      <c r="A4088" t="inlineStr">
        <is>
          <t xml:space="preserve">door </t>
        </is>
      </c>
      <c r="B4088">
        <f>VLOOKUP(186,Requirements!A2:B2967,2,FALSE)</f>
        <v/>
      </c>
    </row>
    <row r="4089">
      <c r="A4089" t="inlineStr">
        <is>
          <t xml:space="preserve">door </t>
        </is>
      </c>
      <c r="B4089">
        <f>VLOOKUP(199,Requirements!A2:B2967,2,FALSE)</f>
        <v/>
      </c>
    </row>
    <row r="4090">
      <c r="A4090" t="inlineStr">
        <is>
          <t xml:space="preserve">door </t>
        </is>
      </c>
      <c r="B4090">
        <f>VLOOKUP(201,Requirements!A2:B2967,2,FALSE)</f>
        <v/>
      </c>
    </row>
    <row r="4091">
      <c r="A4091" t="inlineStr">
        <is>
          <t xml:space="preserve">door </t>
        </is>
      </c>
      <c r="B4091">
        <f>VLOOKUP(246,Requirements!A2:B2967,2,FALSE)</f>
        <v/>
      </c>
    </row>
    <row r="4092">
      <c r="A4092" t="inlineStr">
        <is>
          <t xml:space="preserve">door </t>
        </is>
      </c>
      <c r="B4092">
        <f>VLOOKUP(292,Requirements!A2:B2967,2,FALSE)</f>
        <v/>
      </c>
    </row>
    <row r="4093">
      <c r="A4093" t="inlineStr">
        <is>
          <t xml:space="preserve">door </t>
        </is>
      </c>
      <c r="B4093">
        <f>VLOOKUP(294,Requirements!A2:B2967,2,FALSE)</f>
        <v/>
      </c>
    </row>
    <row r="4094">
      <c r="A4094" t="inlineStr">
        <is>
          <t xml:space="preserve">door </t>
        </is>
      </c>
      <c r="B4094">
        <f>VLOOKUP(321,Requirements!A2:B2967,2,FALSE)</f>
        <v/>
      </c>
    </row>
    <row r="4095">
      <c r="A4095" t="inlineStr">
        <is>
          <t xml:space="preserve">door </t>
        </is>
      </c>
      <c r="B4095">
        <f>VLOOKUP(323,Requirements!A2:B2967,2,FALSE)</f>
        <v/>
      </c>
    </row>
    <row r="4096">
      <c r="A4096" t="inlineStr">
        <is>
          <t xml:space="preserve">door </t>
        </is>
      </c>
      <c r="B4096">
        <f>VLOOKUP(331,Requirements!A2:B2967,2,FALSE)</f>
        <v/>
      </c>
    </row>
    <row r="4097">
      <c r="A4097" t="inlineStr">
        <is>
          <t xml:space="preserve">door </t>
        </is>
      </c>
      <c r="B4097">
        <f>VLOOKUP(345,Requirements!A2:B2967,2,FALSE)</f>
        <v/>
      </c>
    </row>
    <row r="4098">
      <c r="A4098" t="inlineStr">
        <is>
          <t xml:space="preserve">door </t>
        </is>
      </c>
      <c r="B4098">
        <f>VLOOKUP(346,Requirements!A2:B2967,2,FALSE)</f>
        <v/>
      </c>
    </row>
    <row r="4099">
      <c r="A4099" t="inlineStr">
        <is>
          <t xml:space="preserve">door </t>
        </is>
      </c>
      <c r="B4099">
        <f>VLOOKUP(351,Requirements!A2:B2967,2,FALSE)</f>
        <v/>
      </c>
    </row>
    <row r="4100">
      <c r="A4100" t="inlineStr">
        <is>
          <t xml:space="preserve">door </t>
        </is>
      </c>
      <c r="B4100">
        <f>VLOOKUP(357,Requirements!A2:B2967,2,FALSE)</f>
        <v/>
      </c>
    </row>
    <row r="4101">
      <c r="A4101" t="inlineStr">
        <is>
          <t xml:space="preserve">door </t>
        </is>
      </c>
      <c r="B4101">
        <f>VLOOKUP(361,Requirements!A2:B2967,2,FALSE)</f>
        <v/>
      </c>
    </row>
    <row r="4102">
      <c r="A4102" t="inlineStr">
        <is>
          <t xml:space="preserve">door </t>
        </is>
      </c>
      <c r="B4102">
        <f>VLOOKUP(364,Requirements!A2:B2967,2,FALSE)</f>
        <v/>
      </c>
    </row>
    <row r="4103">
      <c r="A4103" t="inlineStr">
        <is>
          <t xml:space="preserve">door </t>
        </is>
      </c>
      <c r="B4103">
        <f>VLOOKUP(415,Requirements!A2:B2967,2,FALSE)</f>
        <v/>
      </c>
    </row>
    <row r="4104">
      <c r="A4104" t="inlineStr">
        <is>
          <t xml:space="preserve">door </t>
        </is>
      </c>
      <c r="B4104">
        <f>VLOOKUP(434,Requirements!A2:B2967,2,FALSE)</f>
        <v/>
      </c>
    </row>
    <row r="4105">
      <c r="A4105" t="inlineStr">
        <is>
          <t xml:space="preserve">door </t>
        </is>
      </c>
      <c r="B4105">
        <f>VLOOKUP(450,Requirements!A2:B2967,2,FALSE)</f>
        <v/>
      </c>
    </row>
    <row r="4106">
      <c r="A4106" t="inlineStr">
        <is>
          <t xml:space="preserve">door </t>
        </is>
      </c>
      <c r="B4106">
        <f>VLOOKUP(494,Requirements!A2:B2967,2,FALSE)</f>
        <v/>
      </c>
    </row>
    <row r="4107">
      <c r="A4107" t="inlineStr">
        <is>
          <t xml:space="preserve">door </t>
        </is>
      </c>
      <c r="B4107">
        <f>VLOOKUP(505,Requirements!A2:B2967,2,FALSE)</f>
        <v/>
      </c>
    </row>
    <row r="4108">
      <c r="A4108" t="inlineStr">
        <is>
          <t xml:space="preserve">door </t>
        </is>
      </c>
      <c r="B4108">
        <f>VLOOKUP(510,Requirements!A2:B2967,2,FALSE)</f>
        <v/>
      </c>
    </row>
    <row r="4109">
      <c r="A4109" t="inlineStr">
        <is>
          <t xml:space="preserve">door </t>
        </is>
      </c>
      <c r="B4109">
        <f>VLOOKUP(531,Requirements!A2:B2967,2,FALSE)</f>
        <v/>
      </c>
    </row>
    <row r="4110">
      <c r="A4110" t="inlineStr">
        <is>
          <t xml:space="preserve">door </t>
        </is>
      </c>
      <c r="B4110">
        <f>VLOOKUP(534,Requirements!A2:B2967,2,FALSE)</f>
        <v/>
      </c>
    </row>
    <row r="4111">
      <c r="A4111" t="inlineStr">
        <is>
          <t xml:space="preserve">door </t>
        </is>
      </c>
      <c r="B4111">
        <f>VLOOKUP(536,Requirements!A2:B2967,2,FALSE)</f>
        <v/>
      </c>
    </row>
    <row r="4112">
      <c r="A4112" t="inlineStr">
        <is>
          <t xml:space="preserve">door </t>
        </is>
      </c>
      <c r="B4112">
        <f>VLOOKUP(540,Requirements!A2:B2967,2,FALSE)</f>
        <v/>
      </c>
    </row>
    <row r="4113">
      <c r="A4113" t="inlineStr">
        <is>
          <t xml:space="preserve">door </t>
        </is>
      </c>
      <c r="B4113">
        <f>VLOOKUP(561,Requirements!A2:B2967,2,FALSE)</f>
        <v/>
      </c>
    </row>
    <row r="4114">
      <c r="A4114" t="inlineStr">
        <is>
          <t xml:space="preserve">door </t>
        </is>
      </c>
      <c r="B4114">
        <f>VLOOKUP(575,Requirements!A2:B2967,2,FALSE)</f>
        <v/>
      </c>
    </row>
    <row r="4115">
      <c r="A4115" t="inlineStr">
        <is>
          <t xml:space="preserve">door </t>
        </is>
      </c>
      <c r="B4115">
        <f>VLOOKUP(576,Requirements!A2:B2967,2,FALSE)</f>
        <v/>
      </c>
    </row>
    <row r="4116">
      <c r="A4116" t="inlineStr">
        <is>
          <t xml:space="preserve">door </t>
        </is>
      </c>
      <c r="B4116">
        <f>VLOOKUP(600,Requirements!A2:B2967,2,FALSE)</f>
        <v/>
      </c>
    </row>
    <row r="4117">
      <c r="A4117" t="inlineStr">
        <is>
          <t xml:space="preserve">door </t>
        </is>
      </c>
      <c r="B4117">
        <f>VLOOKUP(646,Requirements!A2:B2967,2,FALSE)</f>
        <v/>
      </c>
    </row>
    <row r="4118">
      <c r="A4118" t="inlineStr">
        <is>
          <t xml:space="preserve">door </t>
        </is>
      </c>
      <c r="B4118">
        <f>VLOOKUP(692,Requirements!A2:B2967,2,FALSE)</f>
        <v/>
      </c>
    </row>
    <row r="4119">
      <c r="A4119" t="inlineStr">
        <is>
          <t xml:space="preserve">door </t>
        </is>
      </c>
      <c r="B4119">
        <f>VLOOKUP(705,Requirements!A2:B2967,2,FALSE)</f>
        <v/>
      </c>
    </row>
    <row r="4120">
      <c r="A4120" t="inlineStr">
        <is>
          <t xml:space="preserve">door </t>
        </is>
      </c>
      <c r="B4120">
        <f>VLOOKUP(710,Requirements!A2:B2967,2,FALSE)</f>
        <v/>
      </c>
    </row>
    <row r="4121">
      <c r="A4121" t="inlineStr">
        <is>
          <t xml:space="preserve">door </t>
        </is>
      </c>
      <c r="B4121">
        <f>VLOOKUP(740,Requirements!A2:B2967,2,FALSE)</f>
        <v/>
      </c>
    </row>
    <row r="4122">
      <c r="A4122" t="inlineStr">
        <is>
          <t xml:space="preserve">door </t>
        </is>
      </c>
      <c r="B4122">
        <f>VLOOKUP(741,Requirements!A2:B2967,2,FALSE)</f>
        <v/>
      </c>
    </row>
    <row r="4123">
      <c r="A4123" t="inlineStr">
        <is>
          <t xml:space="preserve">door </t>
        </is>
      </c>
      <c r="B4123">
        <f>VLOOKUP(746,Requirements!A2:B2967,2,FALSE)</f>
        <v/>
      </c>
    </row>
    <row r="4124">
      <c r="A4124" t="inlineStr">
        <is>
          <t xml:space="preserve">door </t>
        </is>
      </c>
      <c r="B4124">
        <f>VLOOKUP(811,Requirements!A2:B2967,2,FALSE)</f>
        <v/>
      </c>
    </row>
    <row r="4125">
      <c r="A4125" t="inlineStr">
        <is>
          <t xml:space="preserve">door </t>
        </is>
      </c>
      <c r="B4125">
        <f>VLOOKUP(842,Requirements!A2:B2967,2,FALSE)</f>
        <v/>
      </c>
    </row>
    <row r="4126">
      <c r="A4126" t="inlineStr">
        <is>
          <t xml:space="preserve">door </t>
        </is>
      </c>
      <c r="B4126">
        <f>VLOOKUP(904,Requirements!A2:B2967,2,FALSE)</f>
        <v/>
      </c>
    </row>
    <row r="4127">
      <c r="A4127" t="inlineStr">
        <is>
          <t xml:space="preserve">door </t>
        </is>
      </c>
      <c r="B4127">
        <f>VLOOKUP(910,Requirements!A2:B2967,2,FALSE)</f>
        <v/>
      </c>
    </row>
    <row r="4128">
      <c r="A4128" t="inlineStr">
        <is>
          <t xml:space="preserve">door </t>
        </is>
      </c>
      <c r="B4128">
        <f>VLOOKUP(917,Requirements!A2:B2967,2,FALSE)</f>
        <v/>
      </c>
    </row>
    <row r="4129">
      <c r="A4129" t="inlineStr">
        <is>
          <t xml:space="preserve">door </t>
        </is>
      </c>
      <c r="B4129">
        <f>VLOOKUP(926,Requirements!A2:B2967,2,FALSE)</f>
        <v/>
      </c>
    </row>
    <row r="4130">
      <c r="A4130" t="inlineStr">
        <is>
          <t xml:space="preserve">door </t>
        </is>
      </c>
      <c r="B4130">
        <f>VLOOKUP(937,Requirements!A2:B2967,2,FALSE)</f>
        <v/>
      </c>
    </row>
    <row r="4131">
      <c r="A4131" t="inlineStr">
        <is>
          <t xml:space="preserve">door </t>
        </is>
      </c>
      <c r="B4131">
        <f>VLOOKUP(1057,Requirements!A2:B2967,2,FALSE)</f>
        <v/>
      </c>
    </row>
    <row r="4132">
      <c r="A4132" t="inlineStr">
        <is>
          <t xml:space="preserve">door </t>
        </is>
      </c>
      <c r="B4132">
        <f>VLOOKUP(1094,Requirements!A2:B2967,2,FALSE)</f>
        <v/>
      </c>
    </row>
    <row r="4133">
      <c r="A4133" t="inlineStr">
        <is>
          <t xml:space="preserve">door </t>
        </is>
      </c>
      <c r="B4133">
        <f>VLOOKUP(1101,Requirements!A2:B2967,2,FALSE)</f>
        <v/>
      </c>
    </row>
    <row r="4134">
      <c r="A4134" t="inlineStr">
        <is>
          <t xml:space="preserve">door </t>
        </is>
      </c>
      <c r="B4134">
        <f>VLOOKUP(1129,Requirements!A2:B2967,2,FALSE)</f>
        <v/>
      </c>
    </row>
    <row r="4135">
      <c r="A4135" t="inlineStr">
        <is>
          <t xml:space="preserve">door </t>
        </is>
      </c>
      <c r="B4135">
        <f>VLOOKUP(1159,Requirements!A2:B2967,2,FALSE)</f>
        <v/>
      </c>
    </row>
    <row r="4136">
      <c r="A4136" t="inlineStr">
        <is>
          <t xml:space="preserve">door </t>
        </is>
      </c>
      <c r="B4136">
        <f>VLOOKUP(1188,Requirements!A2:B2967,2,FALSE)</f>
        <v/>
      </c>
    </row>
    <row r="4137">
      <c r="A4137" t="inlineStr">
        <is>
          <t xml:space="preserve">door </t>
        </is>
      </c>
      <c r="B4137">
        <f>VLOOKUP(1189,Requirements!A2:B2967,2,FALSE)</f>
        <v/>
      </c>
    </row>
    <row r="4138">
      <c r="A4138" t="inlineStr">
        <is>
          <t xml:space="preserve">door </t>
        </is>
      </c>
      <c r="B4138">
        <f>VLOOKUP(1195,Requirements!A2:B2967,2,FALSE)</f>
        <v/>
      </c>
    </row>
    <row r="4139">
      <c r="A4139" t="inlineStr">
        <is>
          <t xml:space="preserve">door </t>
        </is>
      </c>
      <c r="B4139">
        <f>VLOOKUP(1203,Requirements!A2:B2967,2,FALSE)</f>
        <v/>
      </c>
    </row>
    <row r="4140">
      <c r="A4140" t="inlineStr">
        <is>
          <t xml:space="preserve">door </t>
        </is>
      </c>
      <c r="B4140">
        <f>VLOOKUP(1224,Requirements!A2:B2967,2,FALSE)</f>
        <v/>
      </c>
    </row>
    <row r="4141">
      <c r="A4141" t="inlineStr">
        <is>
          <t xml:space="preserve">door </t>
        </is>
      </c>
      <c r="B4141">
        <f>VLOOKUP(1225,Requirements!A2:B2967,2,FALSE)</f>
        <v/>
      </c>
    </row>
    <row r="4142">
      <c r="A4142" t="inlineStr">
        <is>
          <t xml:space="preserve">door </t>
        </is>
      </c>
      <c r="B4142">
        <f>VLOOKUP(1238,Requirements!A2:B2967,2,FALSE)</f>
        <v/>
      </c>
    </row>
    <row r="4143">
      <c r="A4143" t="inlineStr">
        <is>
          <t xml:space="preserve">door </t>
        </is>
      </c>
      <c r="B4143">
        <f>VLOOKUP(1249,Requirements!A2:B2967,2,FALSE)</f>
        <v/>
      </c>
    </row>
    <row r="4144">
      <c r="A4144" t="inlineStr">
        <is>
          <t xml:space="preserve">door </t>
        </is>
      </c>
      <c r="B4144">
        <f>VLOOKUP(1264,Requirements!A2:B2967,2,FALSE)</f>
        <v/>
      </c>
    </row>
    <row r="4145">
      <c r="A4145" t="inlineStr">
        <is>
          <t xml:space="preserve">door </t>
        </is>
      </c>
      <c r="B4145">
        <f>VLOOKUP(1270,Requirements!A2:B2967,2,FALSE)</f>
        <v/>
      </c>
    </row>
    <row r="4146">
      <c r="A4146" t="inlineStr">
        <is>
          <t xml:space="preserve">door </t>
        </is>
      </c>
      <c r="B4146">
        <f>VLOOKUP(1273,Requirements!A2:B2967,2,FALSE)</f>
        <v/>
      </c>
    </row>
    <row r="4147">
      <c r="A4147" t="inlineStr">
        <is>
          <t xml:space="preserve">door </t>
        </is>
      </c>
      <c r="B4147">
        <f>VLOOKUP(1356,Requirements!A2:B2967,2,FALSE)</f>
        <v/>
      </c>
    </row>
    <row r="4148">
      <c r="A4148" t="inlineStr">
        <is>
          <t xml:space="preserve">door </t>
        </is>
      </c>
      <c r="B4148">
        <f>VLOOKUP(1375,Requirements!A2:B2967,2,FALSE)</f>
        <v/>
      </c>
    </row>
    <row r="4149">
      <c r="A4149" t="inlineStr">
        <is>
          <t xml:space="preserve">door </t>
        </is>
      </c>
      <c r="B4149">
        <f>VLOOKUP(1391,Requirements!A2:B2967,2,FALSE)</f>
        <v/>
      </c>
    </row>
    <row r="4150">
      <c r="A4150" t="inlineStr">
        <is>
          <t xml:space="preserve">door </t>
        </is>
      </c>
      <c r="B4150">
        <f>VLOOKUP(1393,Requirements!A2:B2967,2,FALSE)</f>
        <v/>
      </c>
    </row>
    <row r="4151">
      <c r="A4151" t="inlineStr">
        <is>
          <t xml:space="preserve">door </t>
        </is>
      </c>
      <c r="B4151">
        <f>VLOOKUP(1403,Requirements!A2:B2967,2,FALSE)</f>
        <v/>
      </c>
    </row>
    <row r="4152">
      <c r="A4152" t="inlineStr">
        <is>
          <t xml:space="preserve">door </t>
        </is>
      </c>
      <c r="B4152">
        <f>VLOOKUP(1432,Requirements!A2:B2967,2,FALSE)</f>
        <v/>
      </c>
    </row>
    <row r="4153">
      <c r="A4153" t="inlineStr">
        <is>
          <t xml:space="preserve">door </t>
        </is>
      </c>
      <c r="B4153">
        <f>VLOOKUP(1445,Requirements!A2:B2967,2,FALSE)</f>
        <v/>
      </c>
    </row>
    <row r="4154">
      <c r="A4154" t="inlineStr">
        <is>
          <t xml:space="preserve">door </t>
        </is>
      </c>
      <c r="B4154">
        <f>VLOOKUP(1453,Requirements!A2:B2967,2,FALSE)</f>
        <v/>
      </c>
    </row>
    <row r="4155">
      <c r="A4155" t="inlineStr">
        <is>
          <t xml:space="preserve">door </t>
        </is>
      </c>
      <c r="B4155">
        <f>VLOOKUP(1455,Requirements!A2:B2967,2,FALSE)</f>
        <v/>
      </c>
    </row>
    <row r="4156">
      <c r="A4156" t="inlineStr">
        <is>
          <t xml:space="preserve">door </t>
        </is>
      </c>
      <c r="B4156">
        <f>VLOOKUP(1460,Requirements!A2:B2967,2,FALSE)</f>
        <v/>
      </c>
    </row>
    <row r="4157">
      <c r="A4157" t="inlineStr">
        <is>
          <t xml:space="preserve">door </t>
        </is>
      </c>
      <c r="B4157">
        <f>VLOOKUP(1463,Requirements!A2:B2967,2,FALSE)</f>
        <v/>
      </c>
    </row>
    <row r="4158">
      <c r="A4158" t="inlineStr">
        <is>
          <t xml:space="preserve">door </t>
        </is>
      </c>
      <c r="B4158">
        <f>VLOOKUP(1486,Requirements!A2:B2967,2,FALSE)</f>
        <v/>
      </c>
    </row>
    <row r="4159">
      <c r="A4159" t="inlineStr">
        <is>
          <t xml:space="preserve">door </t>
        </is>
      </c>
      <c r="B4159">
        <f>VLOOKUP(1494,Requirements!A2:B2967,2,FALSE)</f>
        <v/>
      </c>
    </row>
    <row r="4160">
      <c r="A4160" t="inlineStr">
        <is>
          <t xml:space="preserve">door </t>
        </is>
      </c>
      <c r="B4160">
        <f>VLOOKUP(1498,Requirements!A2:B2967,2,FALSE)</f>
        <v/>
      </c>
    </row>
    <row r="4161">
      <c r="A4161" t="inlineStr">
        <is>
          <t xml:space="preserve">door </t>
        </is>
      </c>
      <c r="B4161">
        <f>VLOOKUP(1501,Requirements!A2:B2967,2,FALSE)</f>
        <v/>
      </c>
    </row>
    <row r="4162">
      <c r="A4162" t="inlineStr">
        <is>
          <t xml:space="preserve">door </t>
        </is>
      </c>
      <c r="B4162">
        <f>VLOOKUP(1505,Requirements!A2:B2967,2,FALSE)</f>
        <v/>
      </c>
    </row>
    <row r="4163">
      <c r="A4163" t="inlineStr">
        <is>
          <t xml:space="preserve">door </t>
        </is>
      </c>
      <c r="B4163">
        <f>VLOOKUP(1514,Requirements!A2:B2967,2,FALSE)</f>
        <v/>
      </c>
    </row>
    <row r="4164">
      <c r="A4164" t="inlineStr">
        <is>
          <t xml:space="preserve">door </t>
        </is>
      </c>
      <c r="B4164">
        <f>VLOOKUP(1544,Requirements!A2:B2967,2,FALSE)</f>
        <v/>
      </c>
    </row>
    <row r="4165">
      <c r="A4165" t="inlineStr">
        <is>
          <t xml:space="preserve">door </t>
        </is>
      </c>
      <c r="B4165">
        <f>VLOOKUP(1551,Requirements!A2:B2967,2,FALSE)</f>
        <v/>
      </c>
    </row>
    <row r="4166">
      <c r="A4166" t="inlineStr">
        <is>
          <t xml:space="preserve">door </t>
        </is>
      </c>
      <c r="B4166">
        <f>VLOOKUP(1556,Requirements!A2:B2967,2,FALSE)</f>
        <v/>
      </c>
    </row>
    <row r="4167">
      <c r="A4167" t="inlineStr">
        <is>
          <t xml:space="preserve">door </t>
        </is>
      </c>
      <c r="B4167">
        <f>VLOOKUP(1568,Requirements!A2:B2967,2,FALSE)</f>
        <v/>
      </c>
    </row>
    <row r="4168">
      <c r="A4168" t="inlineStr">
        <is>
          <t xml:space="preserve">door </t>
        </is>
      </c>
      <c r="B4168">
        <f>VLOOKUP(1619,Requirements!A2:B2967,2,FALSE)</f>
        <v/>
      </c>
    </row>
    <row r="4169">
      <c r="A4169" t="inlineStr">
        <is>
          <t xml:space="preserve">door </t>
        </is>
      </c>
      <c r="B4169">
        <f>VLOOKUP(1701,Requirements!A2:B2967,2,FALSE)</f>
        <v/>
      </c>
    </row>
    <row r="4170">
      <c r="A4170" t="inlineStr">
        <is>
          <t xml:space="preserve">door </t>
        </is>
      </c>
      <c r="B4170">
        <f>VLOOKUP(1755,Requirements!A2:B2967,2,FALSE)</f>
        <v/>
      </c>
    </row>
    <row r="4171">
      <c r="A4171" t="inlineStr">
        <is>
          <t xml:space="preserve">door </t>
        </is>
      </c>
      <c r="B4171">
        <f>VLOOKUP(1828,Requirements!A2:B2967,2,FALSE)</f>
        <v/>
      </c>
    </row>
    <row r="4172">
      <c r="A4172" t="inlineStr">
        <is>
          <t xml:space="preserve">door </t>
        </is>
      </c>
      <c r="B4172">
        <f>VLOOKUP(1832,Requirements!A2:B2967,2,FALSE)</f>
        <v/>
      </c>
    </row>
    <row r="4173">
      <c r="A4173" t="inlineStr">
        <is>
          <t xml:space="preserve">door </t>
        </is>
      </c>
      <c r="B4173">
        <f>VLOOKUP(1841,Requirements!A2:B2967,2,FALSE)</f>
        <v/>
      </c>
    </row>
    <row r="4174">
      <c r="A4174" t="inlineStr">
        <is>
          <t xml:space="preserve">door </t>
        </is>
      </c>
      <c r="B4174">
        <f>VLOOKUP(1855,Requirements!A2:B2967,2,FALSE)</f>
        <v/>
      </c>
    </row>
    <row r="4175">
      <c r="A4175" t="inlineStr">
        <is>
          <t xml:space="preserve">door </t>
        </is>
      </c>
      <c r="B4175">
        <f>VLOOKUP(1866,Requirements!A2:B2967,2,FALSE)</f>
        <v/>
      </c>
    </row>
    <row r="4176">
      <c r="A4176" t="inlineStr">
        <is>
          <t xml:space="preserve">door </t>
        </is>
      </c>
      <c r="B4176">
        <f>VLOOKUP(1894,Requirements!A2:B2967,2,FALSE)</f>
        <v/>
      </c>
    </row>
    <row r="4177">
      <c r="A4177" t="inlineStr">
        <is>
          <t xml:space="preserve">door </t>
        </is>
      </c>
      <c r="B4177">
        <f>VLOOKUP(1920,Requirements!A2:B2967,2,FALSE)</f>
        <v/>
      </c>
    </row>
    <row r="4178">
      <c r="A4178" t="inlineStr">
        <is>
          <t xml:space="preserve">door </t>
        </is>
      </c>
      <c r="B4178">
        <f>VLOOKUP(1934,Requirements!A2:B2967,2,FALSE)</f>
        <v/>
      </c>
    </row>
    <row r="4179">
      <c r="A4179" t="inlineStr">
        <is>
          <t xml:space="preserve">door </t>
        </is>
      </c>
      <c r="B4179">
        <f>VLOOKUP(1967,Requirements!A2:B2967,2,FALSE)</f>
        <v/>
      </c>
    </row>
    <row r="4180">
      <c r="A4180" t="inlineStr">
        <is>
          <t xml:space="preserve">door </t>
        </is>
      </c>
      <c r="B4180">
        <f>VLOOKUP(1983,Requirements!A2:B2967,2,FALSE)</f>
        <v/>
      </c>
    </row>
    <row r="4181">
      <c r="A4181" t="inlineStr">
        <is>
          <t xml:space="preserve">door </t>
        </is>
      </c>
      <c r="B4181">
        <f>VLOOKUP(1984,Requirements!A2:B2967,2,FALSE)</f>
        <v/>
      </c>
    </row>
    <row r="4182">
      <c r="A4182" t="inlineStr">
        <is>
          <t xml:space="preserve">door </t>
        </is>
      </c>
      <c r="B4182">
        <f>VLOOKUP(1992,Requirements!A2:B2967,2,FALSE)</f>
        <v/>
      </c>
    </row>
    <row r="4183">
      <c r="A4183" t="inlineStr">
        <is>
          <t xml:space="preserve">door </t>
        </is>
      </c>
      <c r="B4183">
        <f>VLOOKUP(2029,Requirements!A2:B2967,2,FALSE)</f>
        <v/>
      </c>
    </row>
    <row r="4184">
      <c r="A4184" t="inlineStr">
        <is>
          <t xml:space="preserve">door </t>
        </is>
      </c>
      <c r="B4184">
        <f>VLOOKUP(2051,Requirements!A2:B2967,2,FALSE)</f>
        <v/>
      </c>
    </row>
    <row r="4185">
      <c r="A4185" t="inlineStr">
        <is>
          <t xml:space="preserve">door </t>
        </is>
      </c>
      <c r="B4185">
        <f>VLOOKUP(2074,Requirements!A2:B2967,2,FALSE)</f>
        <v/>
      </c>
    </row>
    <row r="4186">
      <c r="A4186" t="inlineStr">
        <is>
          <t xml:space="preserve">door </t>
        </is>
      </c>
      <c r="B4186">
        <f>VLOOKUP(2079,Requirements!A2:B2967,2,FALSE)</f>
        <v/>
      </c>
    </row>
    <row r="4187">
      <c r="A4187" t="inlineStr">
        <is>
          <t xml:space="preserve">door </t>
        </is>
      </c>
      <c r="B4187">
        <f>VLOOKUP(2104,Requirements!A2:B2967,2,FALSE)</f>
        <v/>
      </c>
    </row>
    <row r="4188">
      <c r="A4188" t="inlineStr">
        <is>
          <t xml:space="preserve">door </t>
        </is>
      </c>
      <c r="B4188">
        <f>VLOOKUP(2112,Requirements!A2:B2967,2,FALSE)</f>
        <v/>
      </c>
    </row>
    <row r="4189">
      <c r="A4189" t="inlineStr">
        <is>
          <t xml:space="preserve">door </t>
        </is>
      </c>
      <c r="B4189">
        <f>VLOOKUP(2117,Requirements!A2:B2967,2,FALSE)</f>
        <v/>
      </c>
    </row>
    <row r="4190">
      <c r="A4190" t="inlineStr">
        <is>
          <t xml:space="preserve">door </t>
        </is>
      </c>
      <c r="B4190">
        <f>VLOOKUP(2127,Requirements!A2:B2967,2,FALSE)</f>
        <v/>
      </c>
    </row>
    <row r="4191">
      <c r="A4191" t="inlineStr">
        <is>
          <t xml:space="preserve">door </t>
        </is>
      </c>
      <c r="B4191">
        <f>VLOOKUP(2177,Requirements!A2:B2967,2,FALSE)</f>
        <v/>
      </c>
    </row>
    <row r="4192">
      <c r="A4192" t="inlineStr">
        <is>
          <t xml:space="preserve">door </t>
        </is>
      </c>
      <c r="B4192">
        <f>VLOOKUP(2178,Requirements!A2:B2967,2,FALSE)</f>
        <v/>
      </c>
    </row>
    <row r="4193">
      <c r="A4193" t="inlineStr">
        <is>
          <t xml:space="preserve">door </t>
        </is>
      </c>
      <c r="B4193">
        <f>VLOOKUP(2201,Requirements!A2:B2967,2,FALSE)</f>
        <v/>
      </c>
    </row>
    <row r="4194">
      <c r="A4194" t="inlineStr">
        <is>
          <t xml:space="preserve">door </t>
        </is>
      </c>
      <c r="B4194">
        <f>VLOOKUP(2204,Requirements!A2:B2967,2,FALSE)</f>
        <v/>
      </c>
    </row>
    <row r="4195">
      <c r="A4195" t="inlineStr">
        <is>
          <t xml:space="preserve">door </t>
        </is>
      </c>
      <c r="B4195">
        <f>VLOOKUP(2208,Requirements!A2:B2967,2,FALSE)</f>
        <v/>
      </c>
    </row>
    <row r="4196">
      <c r="A4196" t="inlineStr">
        <is>
          <t xml:space="preserve">door </t>
        </is>
      </c>
      <c r="B4196">
        <f>VLOOKUP(2231,Requirements!A2:B2967,2,FALSE)</f>
        <v/>
      </c>
    </row>
    <row r="4197">
      <c r="A4197" t="inlineStr">
        <is>
          <t xml:space="preserve">door </t>
        </is>
      </c>
      <c r="B4197">
        <f>VLOOKUP(2236,Requirements!A2:B2967,2,FALSE)</f>
        <v/>
      </c>
    </row>
    <row r="4198">
      <c r="A4198" t="inlineStr">
        <is>
          <t xml:space="preserve">door </t>
        </is>
      </c>
      <c r="B4198">
        <f>VLOOKUP(2240,Requirements!A2:B2967,2,FALSE)</f>
        <v/>
      </c>
    </row>
    <row r="4199">
      <c r="A4199" t="inlineStr">
        <is>
          <t xml:space="preserve">door </t>
        </is>
      </c>
      <c r="B4199">
        <f>VLOOKUP(2252,Requirements!A2:B2967,2,FALSE)</f>
        <v/>
      </c>
    </row>
    <row r="4200">
      <c r="A4200" t="inlineStr">
        <is>
          <t xml:space="preserve">door </t>
        </is>
      </c>
      <c r="B4200">
        <f>VLOOKUP(2282,Requirements!A2:B2967,2,FALSE)</f>
        <v/>
      </c>
    </row>
    <row r="4201">
      <c r="A4201" t="inlineStr">
        <is>
          <t xml:space="preserve">door </t>
        </is>
      </c>
      <c r="B4201">
        <f>VLOOKUP(2289,Requirements!A2:B2967,2,FALSE)</f>
        <v/>
      </c>
    </row>
    <row r="4202">
      <c r="A4202" t="inlineStr">
        <is>
          <t xml:space="preserve">door </t>
        </is>
      </c>
      <c r="B4202">
        <f>VLOOKUP(2292,Requirements!A2:B2967,2,FALSE)</f>
        <v/>
      </c>
    </row>
    <row r="4203">
      <c r="A4203" t="inlineStr">
        <is>
          <t xml:space="preserve">door </t>
        </is>
      </c>
      <c r="B4203">
        <f>VLOOKUP(2296,Requirements!A2:B2967,2,FALSE)</f>
        <v/>
      </c>
    </row>
    <row r="4204">
      <c r="A4204" t="inlineStr">
        <is>
          <t xml:space="preserve">door </t>
        </is>
      </c>
      <c r="B4204">
        <f>VLOOKUP(2305,Requirements!A2:B2967,2,FALSE)</f>
        <v/>
      </c>
    </row>
    <row r="4205">
      <c r="A4205" t="inlineStr">
        <is>
          <t xml:space="preserve">door </t>
        </is>
      </c>
      <c r="B4205">
        <f>VLOOKUP(2330,Requirements!A2:B2967,2,FALSE)</f>
        <v/>
      </c>
    </row>
    <row r="4206">
      <c r="A4206" t="inlineStr">
        <is>
          <t xml:space="preserve">door </t>
        </is>
      </c>
      <c r="B4206">
        <f>VLOOKUP(2355,Requirements!A2:B2967,2,FALSE)</f>
        <v/>
      </c>
    </row>
    <row r="4207">
      <c r="A4207" t="inlineStr">
        <is>
          <t xml:space="preserve">door </t>
        </is>
      </c>
      <c r="B4207">
        <f>VLOOKUP(2373,Requirements!A2:B2967,2,FALSE)</f>
        <v/>
      </c>
    </row>
    <row r="4208">
      <c r="A4208" t="inlineStr">
        <is>
          <t xml:space="preserve">door </t>
        </is>
      </c>
      <c r="B4208">
        <f>VLOOKUP(2429,Requirements!A2:B2967,2,FALSE)</f>
        <v/>
      </c>
    </row>
    <row r="4209">
      <c r="A4209" t="inlineStr">
        <is>
          <t xml:space="preserve">door </t>
        </is>
      </c>
      <c r="B4209">
        <f>VLOOKUP(2430,Requirements!A2:B2967,2,FALSE)</f>
        <v/>
      </c>
    </row>
    <row r="4210">
      <c r="A4210" t="inlineStr">
        <is>
          <t xml:space="preserve">door </t>
        </is>
      </c>
      <c r="B4210">
        <f>VLOOKUP(2432,Requirements!A2:B2967,2,FALSE)</f>
        <v/>
      </c>
    </row>
    <row r="4211">
      <c r="A4211" t="inlineStr">
        <is>
          <t xml:space="preserve">door </t>
        </is>
      </c>
      <c r="B4211">
        <f>VLOOKUP(2437,Requirements!A2:B2967,2,FALSE)</f>
        <v/>
      </c>
    </row>
    <row r="4212">
      <c r="A4212" t="inlineStr">
        <is>
          <t xml:space="preserve">door </t>
        </is>
      </c>
      <c r="B4212">
        <f>VLOOKUP(2486,Requirements!A2:B2967,2,FALSE)</f>
        <v/>
      </c>
    </row>
    <row r="4213">
      <c r="A4213" t="inlineStr">
        <is>
          <t xml:space="preserve">door </t>
        </is>
      </c>
      <c r="B4213">
        <f>VLOOKUP(2514,Requirements!A2:B2967,2,FALSE)</f>
        <v/>
      </c>
    </row>
    <row r="4214">
      <c r="A4214" t="inlineStr">
        <is>
          <t xml:space="preserve">door </t>
        </is>
      </c>
      <c r="B4214">
        <f>VLOOKUP(2549,Requirements!A2:B2967,2,FALSE)</f>
        <v/>
      </c>
    </row>
    <row r="4215">
      <c r="A4215" t="inlineStr">
        <is>
          <t xml:space="preserve">door </t>
        </is>
      </c>
      <c r="B4215">
        <f>VLOOKUP(2561,Requirements!A2:B2967,2,FALSE)</f>
        <v/>
      </c>
    </row>
    <row r="4216">
      <c r="A4216" t="inlineStr">
        <is>
          <t xml:space="preserve">door </t>
        </is>
      </c>
      <c r="B4216">
        <f>VLOOKUP(2568,Requirements!A2:B2967,2,FALSE)</f>
        <v/>
      </c>
    </row>
    <row r="4217">
      <c r="A4217" t="inlineStr">
        <is>
          <t xml:space="preserve">door </t>
        </is>
      </c>
      <c r="B4217">
        <f>VLOOKUP(2593,Requirements!A2:B2967,2,FALSE)</f>
        <v/>
      </c>
    </row>
    <row r="4218">
      <c r="A4218" t="inlineStr">
        <is>
          <t xml:space="preserve">door </t>
        </is>
      </c>
      <c r="B4218">
        <f>VLOOKUP(2597,Requirements!A2:B2967,2,FALSE)</f>
        <v/>
      </c>
    </row>
    <row r="4219">
      <c r="A4219" t="inlineStr">
        <is>
          <t xml:space="preserve">door </t>
        </is>
      </c>
      <c r="B4219">
        <f>VLOOKUP(2601,Requirements!A2:B2967,2,FALSE)</f>
        <v/>
      </c>
    </row>
    <row r="4220">
      <c r="A4220" t="inlineStr">
        <is>
          <t xml:space="preserve">door </t>
        </is>
      </c>
      <c r="B4220">
        <f>VLOOKUP(2602,Requirements!A2:B2967,2,FALSE)</f>
        <v/>
      </c>
    </row>
    <row r="4221">
      <c r="A4221" t="inlineStr">
        <is>
          <t xml:space="preserve">door </t>
        </is>
      </c>
      <c r="B4221">
        <f>VLOOKUP(2610,Requirements!A2:B2967,2,FALSE)</f>
        <v/>
      </c>
    </row>
    <row r="4222">
      <c r="A4222" t="inlineStr">
        <is>
          <t xml:space="preserve">door </t>
        </is>
      </c>
      <c r="B4222">
        <f>VLOOKUP(2638,Requirements!A2:B2967,2,FALSE)</f>
        <v/>
      </c>
    </row>
    <row r="4223">
      <c r="A4223" t="inlineStr">
        <is>
          <t xml:space="preserve">door </t>
        </is>
      </c>
      <c r="B4223">
        <f>VLOOKUP(2653,Requirements!A2:B2967,2,FALSE)</f>
        <v/>
      </c>
    </row>
    <row r="4224">
      <c r="A4224" t="inlineStr">
        <is>
          <t xml:space="preserve">door </t>
        </is>
      </c>
      <c r="B4224">
        <f>VLOOKUP(2661,Requirements!A2:B2967,2,FALSE)</f>
        <v/>
      </c>
    </row>
    <row r="4225">
      <c r="A4225" t="inlineStr">
        <is>
          <t xml:space="preserve">door </t>
        </is>
      </c>
      <c r="B4225">
        <f>VLOOKUP(2686,Requirements!A2:B2967,2,FALSE)</f>
        <v/>
      </c>
    </row>
    <row r="4226">
      <c r="A4226" t="inlineStr">
        <is>
          <t xml:space="preserve">door </t>
        </is>
      </c>
      <c r="B4226">
        <f>VLOOKUP(2691,Requirements!A2:B2967,2,FALSE)</f>
        <v/>
      </c>
    </row>
    <row r="4227">
      <c r="A4227" t="inlineStr">
        <is>
          <t xml:space="preserve">door </t>
        </is>
      </c>
      <c r="B4227">
        <f>VLOOKUP(2706,Requirements!A2:B2967,2,FALSE)</f>
        <v/>
      </c>
    </row>
    <row r="4228">
      <c r="A4228" t="inlineStr">
        <is>
          <t xml:space="preserve">door </t>
        </is>
      </c>
      <c r="B4228">
        <f>VLOOKUP(2717,Requirements!A2:B2967,2,FALSE)</f>
        <v/>
      </c>
    </row>
    <row r="4229">
      <c r="A4229" t="inlineStr">
        <is>
          <t xml:space="preserve">door </t>
        </is>
      </c>
      <c r="B4229">
        <f>VLOOKUP(2736,Requirements!A2:B2967,2,FALSE)</f>
        <v/>
      </c>
    </row>
    <row r="4230">
      <c r="A4230" t="inlineStr">
        <is>
          <t xml:space="preserve">door </t>
        </is>
      </c>
      <c r="B4230">
        <f>VLOOKUP(2737,Requirements!A2:B2967,2,FALSE)</f>
        <v/>
      </c>
    </row>
    <row r="4231">
      <c r="A4231" t="inlineStr">
        <is>
          <t xml:space="preserve">door </t>
        </is>
      </c>
      <c r="B4231">
        <f>VLOOKUP(2753,Requirements!A2:B2967,2,FALSE)</f>
        <v/>
      </c>
    </row>
    <row r="4232">
      <c r="A4232" t="inlineStr">
        <is>
          <t xml:space="preserve">door </t>
        </is>
      </c>
      <c r="B4232">
        <f>VLOOKUP(2757,Requirements!A2:B2967,2,FALSE)</f>
        <v/>
      </c>
    </row>
    <row r="4233">
      <c r="A4233" t="inlineStr">
        <is>
          <t xml:space="preserve">door </t>
        </is>
      </c>
      <c r="B4233">
        <f>VLOOKUP(2763,Requirements!A2:B2967,2,FALSE)</f>
        <v/>
      </c>
    </row>
    <row r="4234">
      <c r="A4234" t="inlineStr">
        <is>
          <t xml:space="preserve">door </t>
        </is>
      </c>
      <c r="B4234">
        <f>VLOOKUP(2809,Requirements!A2:B2967,2,FALSE)</f>
        <v/>
      </c>
    </row>
    <row r="4235">
      <c r="A4235" t="inlineStr">
        <is>
          <t xml:space="preserve">door </t>
        </is>
      </c>
      <c r="B4235">
        <f>VLOOKUP(2842,Requirements!A2:B2967,2,FALSE)</f>
        <v/>
      </c>
    </row>
    <row r="4236">
      <c r="A4236" t="inlineStr">
        <is>
          <t xml:space="preserve">door </t>
        </is>
      </c>
      <c r="B4236">
        <f>VLOOKUP(2860,Requirements!A2:B2967,2,FALSE)</f>
        <v/>
      </c>
    </row>
    <row r="4237">
      <c r="A4237" t="inlineStr">
        <is>
          <t xml:space="preserve">door </t>
        </is>
      </c>
      <c r="B4237">
        <f>VLOOKUP(2865,Requirements!A2:B2967,2,FALSE)</f>
        <v/>
      </c>
    </row>
    <row r="4238">
      <c r="A4238" t="inlineStr">
        <is>
          <t xml:space="preserve">door </t>
        </is>
      </c>
      <c r="B4238">
        <f>VLOOKUP(2871,Requirements!A2:B2967,2,FALSE)</f>
        <v/>
      </c>
    </row>
    <row r="4239">
      <c r="A4239" t="inlineStr">
        <is>
          <t xml:space="preserve">door </t>
        </is>
      </c>
      <c r="B4239">
        <f>VLOOKUP(2887,Requirements!A2:B2967,2,FALSE)</f>
        <v/>
      </c>
    </row>
    <row r="4240">
      <c r="A4240" t="inlineStr">
        <is>
          <t xml:space="preserve">door </t>
        </is>
      </c>
      <c r="B4240">
        <f>VLOOKUP(2909,Requirements!A2:B2967,2,FALSE)</f>
        <v/>
      </c>
    </row>
    <row r="4241">
      <c r="A4241" t="inlineStr">
        <is>
          <t xml:space="preserve">door </t>
        </is>
      </c>
      <c r="B4241">
        <f>VLOOKUP(2920,Requirements!A2:B2967,2,FALSE)</f>
        <v/>
      </c>
    </row>
    <row r="4242">
      <c r="A4242" t="inlineStr">
        <is>
          <t xml:space="preserve">door </t>
        </is>
      </c>
      <c r="B4242">
        <f>VLOOKUP(2944,Requirements!A2:B2967,2,FALSE)</f>
        <v/>
      </c>
    </row>
    <row r="4243">
      <c r="A4243" t="inlineStr">
        <is>
          <t xml:space="preserve">door </t>
        </is>
      </c>
      <c r="B4243">
        <f>VLOOKUP(2955,Requirements!A2:B2967,2,FALSE)</f>
        <v/>
      </c>
    </row>
    <row r="4244">
      <c r="A4244" t="inlineStr">
        <is>
          <t xml:space="preserve">door </t>
        </is>
      </c>
      <c r="B4244">
        <f>VLOOKUP(2975,Requirements!A2:B2967,2,FALSE)</f>
        <v/>
      </c>
    </row>
    <row r="4245">
      <c r="A4245" t="inlineStr">
        <is>
          <t xml:space="preserve">door </t>
        </is>
      </c>
      <c r="B4245">
        <f>VLOOKUP(2984,Requirements!A2:B2967,2,FALSE)</f>
        <v/>
      </c>
    </row>
    <row r="4246">
      <c r="A4246" t="inlineStr">
        <is>
          <t xml:space="preserve">door </t>
        </is>
      </c>
      <c r="B4246">
        <f>VLOOKUP(2994,Requirements!A2:B2967,2,FALSE)</f>
        <v/>
      </c>
    </row>
    <row r="4247">
      <c r="A4247" t="inlineStr">
        <is>
          <t xml:space="preserve">door </t>
        </is>
      </c>
      <c r="B4247">
        <f>VLOOKUP(3022,Requirements!A2:B2967,2,FALSE)</f>
        <v/>
      </c>
    </row>
    <row r="4248">
      <c r="A4248" t="inlineStr">
        <is>
          <t xml:space="preserve">door </t>
        </is>
      </c>
      <c r="B4248">
        <f>VLOOKUP(3028,Requirements!A2:B2967,2,FALSE)</f>
        <v/>
      </c>
    </row>
    <row r="4249">
      <c r="A4249" t="inlineStr">
        <is>
          <t xml:space="preserve">door </t>
        </is>
      </c>
      <c r="B4249">
        <f>VLOOKUP(3031,Requirements!A2:B2967,2,FALSE)</f>
        <v/>
      </c>
    </row>
    <row r="4250">
      <c r="A4250" t="inlineStr">
        <is>
          <t xml:space="preserve">door </t>
        </is>
      </c>
      <c r="B4250">
        <f>VLOOKUP(3055,Requirements!A2:B2967,2,FALSE)</f>
        <v/>
      </c>
    </row>
    <row r="4251">
      <c r="A4251" t="inlineStr">
        <is>
          <t xml:space="preserve">door </t>
        </is>
      </c>
      <c r="B4251">
        <f>VLOOKUP(3056,Requirements!A2:B2967,2,FALSE)</f>
        <v/>
      </c>
    </row>
    <row r="4252">
      <c r="A4252" t="inlineStr">
        <is>
          <t xml:space="preserve">door </t>
        </is>
      </c>
      <c r="B4252">
        <f>VLOOKUP(3100,Requirements!A2:B2967,2,FALSE)</f>
        <v/>
      </c>
    </row>
    <row r="4253">
      <c r="A4253" t="inlineStr">
        <is>
          <t xml:space="preserve">door </t>
        </is>
      </c>
      <c r="B4253">
        <f>VLOOKUP(3101,Requirements!A2:B2967,2,FALSE)</f>
        <v/>
      </c>
    </row>
    <row r="4254">
      <c r="A4254" t="inlineStr">
        <is>
          <t xml:space="preserve">door </t>
        </is>
      </c>
      <c r="B4254">
        <f>VLOOKUP(3104,Requirements!A2:B2967,2,FALSE)</f>
        <v/>
      </c>
    </row>
    <row r="4255">
      <c r="A4255" t="inlineStr">
        <is>
          <t xml:space="preserve">door </t>
        </is>
      </c>
      <c r="B4255">
        <f>VLOOKUP(3182,Requirements!A2:B2967,2,FALSE)</f>
        <v/>
      </c>
    </row>
    <row r="4256">
      <c r="A4256" t="inlineStr">
        <is>
          <t xml:space="preserve">door </t>
        </is>
      </c>
      <c r="B4256">
        <f>VLOOKUP(3209,Requirements!A2:B2967,2,FALSE)</f>
        <v/>
      </c>
    </row>
    <row r="4257">
      <c r="A4257" t="inlineStr">
        <is>
          <t xml:space="preserve">door </t>
        </is>
      </c>
      <c r="B4257">
        <f>VLOOKUP(3228,Requirements!A2:B2967,2,FALSE)</f>
        <v/>
      </c>
    </row>
    <row r="4258">
      <c r="A4258" t="inlineStr">
        <is>
          <t xml:space="preserve">door </t>
        </is>
      </c>
      <c r="B4258">
        <f>VLOOKUP(3272,Requirements!A2:B2967,2,FALSE)</f>
        <v/>
      </c>
    </row>
    <row r="4259">
      <c r="A4259" t="inlineStr">
        <is>
          <t xml:space="preserve">night </t>
        </is>
      </c>
      <c r="B4259">
        <f>VLOOKUP(27,Requirements!A2:B2967,2,FALSE)</f>
        <v/>
      </c>
    </row>
    <row r="4260">
      <c r="A4260" t="inlineStr">
        <is>
          <t xml:space="preserve">night </t>
        </is>
      </c>
      <c r="B4260">
        <f>VLOOKUP(40,Requirements!A2:B2967,2,FALSE)</f>
        <v/>
      </c>
    </row>
    <row r="4261">
      <c r="A4261" t="inlineStr">
        <is>
          <t xml:space="preserve">night </t>
        </is>
      </c>
      <c r="B4261">
        <f>VLOOKUP(100,Requirements!A2:B2967,2,FALSE)</f>
        <v/>
      </c>
    </row>
    <row r="4262">
      <c r="A4262" t="inlineStr">
        <is>
          <t xml:space="preserve">night </t>
        </is>
      </c>
      <c r="B4262">
        <f>VLOOKUP(146,Requirements!A2:B2967,2,FALSE)</f>
        <v/>
      </c>
    </row>
    <row r="4263">
      <c r="A4263" t="inlineStr">
        <is>
          <t xml:space="preserve">night </t>
        </is>
      </c>
      <c r="B4263">
        <f>VLOOKUP(147,Requirements!A2:B2967,2,FALSE)</f>
        <v/>
      </c>
    </row>
    <row r="4264">
      <c r="A4264" t="inlineStr">
        <is>
          <t xml:space="preserve">night </t>
        </is>
      </c>
      <c r="B4264">
        <f>VLOOKUP(204,Requirements!A2:B2967,2,FALSE)</f>
        <v/>
      </c>
    </row>
    <row r="4265">
      <c r="A4265" t="inlineStr">
        <is>
          <t xml:space="preserve">night </t>
        </is>
      </c>
      <c r="B4265">
        <f>VLOOKUP(213,Requirements!A2:B2967,2,FALSE)</f>
        <v/>
      </c>
    </row>
    <row r="4266">
      <c r="A4266" t="inlineStr">
        <is>
          <t xml:space="preserve">night </t>
        </is>
      </c>
      <c r="B4266">
        <f>VLOOKUP(224,Requirements!A2:B2967,2,FALSE)</f>
        <v/>
      </c>
    </row>
    <row r="4267">
      <c r="A4267" t="inlineStr">
        <is>
          <t xml:space="preserve">night </t>
        </is>
      </c>
      <c r="B4267">
        <f>VLOOKUP(255,Requirements!A2:B2967,2,FALSE)</f>
        <v/>
      </c>
    </row>
    <row r="4268">
      <c r="A4268" t="inlineStr">
        <is>
          <t xml:space="preserve">night </t>
        </is>
      </c>
      <c r="B4268">
        <f>VLOOKUP(287,Requirements!A2:B2967,2,FALSE)</f>
        <v/>
      </c>
    </row>
    <row r="4269">
      <c r="A4269" t="inlineStr">
        <is>
          <t xml:space="preserve">night </t>
        </is>
      </c>
      <c r="B4269">
        <f>VLOOKUP(370,Requirements!A2:B2967,2,FALSE)</f>
        <v/>
      </c>
    </row>
    <row r="4270">
      <c r="A4270" t="inlineStr">
        <is>
          <t xml:space="preserve">night </t>
        </is>
      </c>
      <c r="B4270">
        <f>VLOOKUP(409,Requirements!A2:B2967,2,FALSE)</f>
        <v/>
      </c>
    </row>
    <row r="4271">
      <c r="A4271" t="inlineStr">
        <is>
          <t xml:space="preserve">night </t>
        </is>
      </c>
      <c r="B4271">
        <f>VLOOKUP(431,Requirements!A2:B2967,2,FALSE)</f>
        <v/>
      </c>
    </row>
    <row r="4272">
      <c r="A4272" t="inlineStr">
        <is>
          <t xml:space="preserve">night </t>
        </is>
      </c>
      <c r="B4272">
        <f>VLOOKUP(432,Requirements!A2:B2967,2,FALSE)</f>
        <v/>
      </c>
    </row>
    <row r="4273">
      <c r="A4273" t="inlineStr">
        <is>
          <t xml:space="preserve">night </t>
        </is>
      </c>
      <c r="B4273">
        <f>VLOOKUP(457,Requirements!A2:B2967,2,FALSE)</f>
        <v/>
      </c>
    </row>
    <row r="4274">
      <c r="A4274" t="inlineStr">
        <is>
          <t xml:space="preserve">night </t>
        </is>
      </c>
      <c r="B4274">
        <f>VLOOKUP(463,Requirements!A2:B2967,2,FALSE)</f>
        <v/>
      </c>
    </row>
    <row r="4275">
      <c r="A4275" t="inlineStr">
        <is>
          <t xml:space="preserve">night </t>
        </is>
      </c>
      <c r="B4275">
        <f>VLOOKUP(470,Requirements!A2:B2967,2,FALSE)</f>
        <v/>
      </c>
    </row>
    <row r="4276">
      <c r="A4276" t="inlineStr">
        <is>
          <t xml:space="preserve">night </t>
        </is>
      </c>
      <c r="B4276">
        <f>VLOOKUP(502,Requirements!A2:B2967,2,FALSE)</f>
        <v/>
      </c>
    </row>
    <row r="4277">
      <c r="A4277" t="inlineStr">
        <is>
          <t xml:space="preserve">night </t>
        </is>
      </c>
      <c r="B4277">
        <f>VLOOKUP(536,Requirements!A2:B2967,2,FALSE)</f>
        <v/>
      </c>
    </row>
    <row r="4278">
      <c r="A4278" t="inlineStr">
        <is>
          <t xml:space="preserve">night </t>
        </is>
      </c>
      <c r="B4278">
        <f>VLOOKUP(689,Requirements!A2:B2967,2,FALSE)</f>
        <v/>
      </c>
    </row>
    <row r="4279">
      <c r="A4279" t="inlineStr">
        <is>
          <t xml:space="preserve">night </t>
        </is>
      </c>
      <c r="B4279">
        <f>VLOOKUP(794,Requirements!A2:B2967,2,FALSE)</f>
        <v/>
      </c>
    </row>
    <row r="4280">
      <c r="A4280" t="inlineStr">
        <is>
          <t xml:space="preserve">night </t>
        </is>
      </c>
      <c r="B4280">
        <f>VLOOKUP(917,Requirements!A2:B2967,2,FALSE)</f>
        <v/>
      </c>
    </row>
    <row r="4281">
      <c r="A4281" t="inlineStr">
        <is>
          <t xml:space="preserve">night </t>
        </is>
      </c>
      <c r="B4281">
        <f>VLOOKUP(935,Requirements!A2:B2967,2,FALSE)</f>
        <v/>
      </c>
    </row>
    <row r="4282">
      <c r="A4282" t="inlineStr">
        <is>
          <t xml:space="preserve">night </t>
        </is>
      </c>
      <c r="B4282">
        <f>VLOOKUP(977,Requirements!A2:B2967,2,FALSE)</f>
        <v/>
      </c>
    </row>
    <row r="4283">
      <c r="A4283" t="inlineStr">
        <is>
          <t xml:space="preserve">night </t>
        </is>
      </c>
      <c r="B4283">
        <f>VLOOKUP(1024,Requirements!A2:B2967,2,FALSE)</f>
        <v/>
      </c>
    </row>
    <row r="4284">
      <c r="A4284" t="inlineStr">
        <is>
          <t xml:space="preserve">night </t>
        </is>
      </c>
      <c r="B4284">
        <f>VLOOKUP(1031,Requirements!A2:B2967,2,FALSE)</f>
        <v/>
      </c>
    </row>
    <row r="4285">
      <c r="A4285" t="inlineStr">
        <is>
          <t xml:space="preserve">night </t>
        </is>
      </c>
      <c r="B4285">
        <f>VLOOKUP(1042,Requirements!A2:B2967,2,FALSE)</f>
        <v/>
      </c>
    </row>
    <row r="4286">
      <c r="A4286" t="inlineStr">
        <is>
          <t xml:space="preserve">night </t>
        </is>
      </c>
      <c r="B4286">
        <f>VLOOKUP(1052,Requirements!A2:B2967,2,FALSE)</f>
        <v/>
      </c>
    </row>
    <row r="4287">
      <c r="A4287" t="inlineStr">
        <is>
          <t xml:space="preserve">night </t>
        </is>
      </c>
      <c r="B4287">
        <f>VLOOKUP(1053,Requirements!A2:B2967,2,FALSE)</f>
        <v/>
      </c>
    </row>
    <row r="4288">
      <c r="A4288" t="inlineStr">
        <is>
          <t xml:space="preserve">night </t>
        </is>
      </c>
      <c r="B4288">
        <f>VLOOKUP(1077,Requirements!A2:B2967,2,FALSE)</f>
        <v/>
      </c>
    </row>
    <row r="4289">
      <c r="A4289" t="inlineStr">
        <is>
          <t xml:space="preserve">night </t>
        </is>
      </c>
      <c r="B4289">
        <f>VLOOKUP(1093,Requirements!A2:B2967,2,FALSE)</f>
        <v/>
      </c>
    </row>
    <row r="4290">
      <c r="A4290" t="inlineStr">
        <is>
          <t xml:space="preserve">night </t>
        </is>
      </c>
      <c r="B4290">
        <f>VLOOKUP(1114,Requirements!A2:B2967,2,FALSE)</f>
        <v/>
      </c>
    </row>
    <row r="4291">
      <c r="A4291" t="inlineStr">
        <is>
          <t xml:space="preserve">night </t>
        </is>
      </c>
      <c r="B4291">
        <f>VLOOKUP(1132,Requirements!A2:B2967,2,FALSE)</f>
        <v/>
      </c>
    </row>
    <row r="4292">
      <c r="A4292" t="inlineStr">
        <is>
          <t xml:space="preserve">night </t>
        </is>
      </c>
      <c r="B4292">
        <f>VLOOKUP(1201,Requirements!A2:B2967,2,FALSE)</f>
        <v/>
      </c>
    </row>
    <row r="4293">
      <c r="A4293" t="inlineStr">
        <is>
          <t xml:space="preserve">night </t>
        </is>
      </c>
      <c r="B4293">
        <f>VLOOKUP(1268,Requirements!A2:B2967,2,FALSE)</f>
        <v/>
      </c>
    </row>
    <row r="4294">
      <c r="A4294" t="inlineStr">
        <is>
          <t xml:space="preserve">night </t>
        </is>
      </c>
      <c r="B4294">
        <f>VLOOKUP(1279,Requirements!A2:B2967,2,FALSE)</f>
        <v/>
      </c>
    </row>
    <row r="4295">
      <c r="A4295" t="inlineStr">
        <is>
          <t xml:space="preserve">night </t>
        </is>
      </c>
      <c r="B4295">
        <f>VLOOKUP(1337,Requirements!A2:B2967,2,FALSE)</f>
        <v/>
      </c>
    </row>
    <row r="4296">
      <c r="A4296" t="inlineStr">
        <is>
          <t xml:space="preserve">night </t>
        </is>
      </c>
      <c r="B4296">
        <f>VLOOKUP(1386,Requirements!A2:B2967,2,FALSE)</f>
        <v/>
      </c>
    </row>
    <row r="4297">
      <c r="A4297" t="inlineStr">
        <is>
          <t xml:space="preserve">night </t>
        </is>
      </c>
      <c r="B4297">
        <f>VLOOKUP(1466,Requirements!A2:B2967,2,FALSE)</f>
        <v/>
      </c>
    </row>
    <row r="4298">
      <c r="A4298" t="inlineStr">
        <is>
          <t xml:space="preserve">night </t>
        </is>
      </c>
      <c r="B4298">
        <f>VLOOKUP(1498,Requirements!A2:B2967,2,FALSE)</f>
        <v/>
      </c>
    </row>
    <row r="4299">
      <c r="A4299" t="inlineStr">
        <is>
          <t xml:space="preserve">night </t>
        </is>
      </c>
      <c r="B4299">
        <f>VLOOKUP(1502,Requirements!A2:B2967,2,FALSE)</f>
        <v/>
      </c>
    </row>
    <row r="4300">
      <c r="A4300" t="inlineStr">
        <is>
          <t xml:space="preserve">night </t>
        </is>
      </c>
      <c r="B4300">
        <f>VLOOKUP(1953,Requirements!A2:B2967,2,FALSE)</f>
        <v/>
      </c>
    </row>
    <row r="4301">
      <c r="A4301" t="inlineStr">
        <is>
          <t xml:space="preserve">night </t>
        </is>
      </c>
      <c r="B4301">
        <f>VLOOKUP(2010,Requirements!A2:B2967,2,FALSE)</f>
        <v/>
      </c>
    </row>
    <row r="4302">
      <c r="A4302" t="inlineStr">
        <is>
          <t xml:space="preserve">night </t>
        </is>
      </c>
      <c r="B4302">
        <f>VLOOKUP(2028,Requirements!A2:B2967,2,FALSE)</f>
        <v/>
      </c>
    </row>
    <row r="4303">
      <c r="A4303" t="inlineStr">
        <is>
          <t xml:space="preserve">night </t>
        </is>
      </c>
      <c r="B4303">
        <f>VLOOKUP(2048,Requirements!A2:B2967,2,FALSE)</f>
        <v/>
      </c>
    </row>
    <row r="4304">
      <c r="A4304" t="inlineStr">
        <is>
          <t xml:space="preserve">night </t>
        </is>
      </c>
      <c r="B4304">
        <f>VLOOKUP(2057,Requirements!A2:B2967,2,FALSE)</f>
        <v/>
      </c>
    </row>
    <row r="4305">
      <c r="A4305" t="inlineStr">
        <is>
          <t xml:space="preserve">night </t>
        </is>
      </c>
      <c r="B4305">
        <f>VLOOKUP(2086,Requirements!A2:B2967,2,FALSE)</f>
        <v/>
      </c>
    </row>
    <row r="4306">
      <c r="A4306" t="inlineStr">
        <is>
          <t xml:space="preserve">night </t>
        </is>
      </c>
      <c r="B4306">
        <f>VLOOKUP(2104,Requirements!A2:B2967,2,FALSE)</f>
        <v/>
      </c>
    </row>
    <row r="4307">
      <c r="A4307" t="inlineStr">
        <is>
          <t xml:space="preserve">night </t>
        </is>
      </c>
      <c r="B4307">
        <f>VLOOKUP(2105,Requirements!A2:B2967,2,FALSE)</f>
        <v/>
      </c>
    </row>
    <row r="4308">
      <c r="A4308" t="inlineStr">
        <is>
          <t xml:space="preserve">night </t>
        </is>
      </c>
      <c r="B4308">
        <f>VLOOKUP(2113,Requirements!A2:B2967,2,FALSE)</f>
        <v/>
      </c>
    </row>
    <row r="4309">
      <c r="A4309" t="inlineStr">
        <is>
          <t xml:space="preserve">night </t>
        </is>
      </c>
      <c r="B4309">
        <f>VLOOKUP(2195,Requirements!A2:B2967,2,FALSE)</f>
        <v/>
      </c>
    </row>
    <row r="4310">
      <c r="A4310" t="inlineStr">
        <is>
          <t xml:space="preserve">night </t>
        </is>
      </c>
      <c r="B4310">
        <f>VLOOKUP(2228,Requirements!A2:B2967,2,FALSE)</f>
        <v/>
      </c>
    </row>
    <row r="4311">
      <c r="A4311" t="inlineStr">
        <is>
          <t xml:space="preserve">night </t>
        </is>
      </c>
      <c r="B4311">
        <f>VLOOKUP(2237,Requirements!A2:B2967,2,FALSE)</f>
        <v/>
      </c>
    </row>
    <row r="4312">
      <c r="A4312" t="inlineStr">
        <is>
          <t xml:space="preserve">night </t>
        </is>
      </c>
      <c r="B4312">
        <f>VLOOKUP(2243,Requirements!A2:B2967,2,FALSE)</f>
        <v/>
      </c>
    </row>
    <row r="4313">
      <c r="A4313" t="inlineStr">
        <is>
          <t xml:space="preserve">night </t>
        </is>
      </c>
      <c r="B4313">
        <f>VLOOKUP(2254,Requirements!A2:B2967,2,FALSE)</f>
        <v/>
      </c>
    </row>
    <row r="4314">
      <c r="A4314" t="inlineStr">
        <is>
          <t xml:space="preserve">night </t>
        </is>
      </c>
      <c r="B4314">
        <f>VLOOKUP(2322,Requirements!A2:B2967,2,FALSE)</f>
        <v/>
      </c>
    </row>
    <row r="4315">
      <c r="A4315" t="inlineStr">
        <is>
          <t xml:space="preserve">night </t>
        </is>
      </c>
      <c r="B4315">
        <f>VLOOKUP(2330,Requirements!A2:B2967,2,FALSE)</f>
        <v/>
      </c>
    </row>
    <row r="4316">
      <c r="A4316" t="inlineStr">
        <is>
          <t xml:space="preserve">night </t>
        </is>
      </c>
      <c r="B4316">
        <f>VLOOKUP(2348,Requirements!A2:B2967,2,FALSE)</f>
        <v/>
      </c>
    </row>
    <row r="4317">
      <c r="A4317" t="inlineStr">
        <is>
          <t xml:space="preserve">night </t>
        </is>
      </c>
      <c r="B4317">
        <f>VLOOKUP(2369,Requirements!A2:B2967,2,FALSE)</f>
        <v/>
      </c>
    </row>
    <row r="4318">
      <c r="A4318" t="inlineStr">
        <is>
          <t xml:space="preserve">night </t>
        </is>
      </c>
      <c r="B4318">
        <f>VLOOKUP(2465,Requirements!A2:B2967,2,FALSE)</f>
        <v/>
      </c>
    </row>
    <row r="4319">
      <c r="A4319" t="inlineStr">
        <is>
          <t xml:space="preserve">night </t>
        </is>
      </c>
      <c r="B4319">
        <f>VLOOKUP(2488,Requirements!A2:B2967,2,FALSE)</f>
        <v/>
      </c>
    </row>
    <row r="4320">
      <c r="A4320" t="inlineStr">
        <is>
          <t xml:space="preserve">night </t>
        </is>
      </c>
      <c r="B4320">
        <f>VLOOKUP(2607,Requirements!A2:B2967,2,FALSE)</f>
        <v/>
      </c>
    </row>
    <row r="4321">
      <c r="A4321" t="inlineStr">
        <is>
          <t xml:space="preserve">night </t>
        </is>
      </c>
      <c r="B4321">
        <f>VLOOKUP(2629,Requirements!A2:B2967,2,FALSE)</f>
        <v/>
      </c>
    </row>
    <row r="4322">
      <c r="A4322" t="inlineStr">
        <is>
          <t xml:space="preserve">night </t>
        </is>
      </c>
      <c r="B4322">
        <f>VLOOKUP(2655,Requirements!A2:B2967,2,FALSE)</f>
        <v/>
      </c>
    </row>
    <row r="4323">
      <c r="A4323" t="inlineStr">
        <is>
          <t xml:space="preserve">night </t>
        </is>
      </c>
      <c r="B4323">
        <f>VLOOKUP(2661,Requirements!A2:B2967,2,FALSE)</f>
        <v/>
      </c>
    </row>
    <row r="4324">
      <c r="A4324" t="inlineStr">
        <is>
          <t xml:space="preserve">night </t>
        </is>
      </c>
      <c r="B4324">
        <f>VLOOKUP(2671,Requirements!A2:B2967,2,FALSE)</f>
        <v/>
      </c>
    </row>
    <row r="4325">
      <c r="A4325" t="inlineStr">
        <is>
          <t xml:space="preserve">night </t>
        </is>
      </c>
      <c r="B4325">
        <f>VLOOKUP(2725,Requirements!A2:B2967,2,FALSE)</f>
        <v/>
      </c>
    </row>
    <row r="4326">
      <c r="A4326" t="inlineStr">
        <is>
          <t xml:space="preserve">night </t>
        </is>
      </c>
      <c r="B4326">
        <f>VLOOKUP(2737,Requirements!A2:B2967,2,FALSE)</f>
        <v/>
      </c>
    </row>
    <row r="4327">
      <c r="A4327" t="inlineStr">
        <is>
          <t xml:space="preserve">night </t>
        </is>
      </c>
      <c r="B4327">
        <f>VLOOKUP(2757,Requirements!A2:B2967,2,FALSE)</f>
        <v/>
      </c>
    </row>
    <row r="4328">
      <c r="A4328" t="inlineStr">
        <is>
          <t xml:space="preserve">night </t>
        </is>
      </c>
      <c r="B4328">
        <f>VLOOKUP(2765,Requirements!A2:B2967,2,FALSE)</f>
        <v/>
      </c>
    </row>
    <row r="4329">
      <c r="A4329" t="inlineStr">
        <is>
          <t xml:space="preserve">night </t>
        </is>
      </c>
      <c r="B4329">
        <f>VLOOKUP(2775,Requirements!A2:B2967,2,FALSE)</f>
        <v/>
      </c>
    </row>
    <row r="4330">
      <c r="A4330" t="inlineStr">
        <is>
          <t xml:space="preserve">night </t>
        </is>
      </c>
      <c r="B4330">
        <f>VLOOKUP(2892,Requirements!A2:B2967,2,FALSE)</f>
        <v/>
      </c>
    </row>
    <row r="4331">
      <c r="A4331" t="inlineStr">
        <is>
          <t xml:space="preserve">night </t>
        </is>
      </c>
      <c r="B4331">
        <f>VLOOKUP(2898,Requirements!A2:B2967,2,FALSE)</f>
        <v/>
      </c>
    </row>
    <row r="4332">
      <c r="A4332" t="inlineStr">
        <is>
          <t xml:space="preserve">night </t>
        </is>
      </c>
      <c r="B4332">
        <f>VLOOKUP(2955,Requirements!A2:B2967,2,FALSE)</f>
        <v/>
      </c>
    </row>
    <row r="4333">
      <c r="A4333" t="inlineStr">
        <is>
          <t xml:space="preserve">night </t>
        </is>
      </c>
      <c r="B4333">
        <f>VLOOKUP(3152,Requirements!A2:B2967,2,FALSE)</f>
        <v/>
      </c>
    </row>
    <row r="4334">
      <c r="A4334" t="inlineStr">
        <is>
          <t xml:space="preserve">night </t>
        </is>
      </c>
      <c r="B4334">
        <f>VLOOKUP(3161,Requirements!A2:B2967,2,FALSE)</f>
        <v/>
      </c>
    </row>
    <row r="4335">
      <c r="A4335" t="inlineStr">
        <is>
          <t xml:space="preserve">night </t>
        </is>
      </c>
      <c r="B4335">
        <f>VLOOKUP(3231,Requirements!A2:B2967,2,FALSE)</f>
        <v/>
      </c>
    </row>
    <row r="4336">
      <c r="A4336" t="inlineStr">
        <is>
          <t xml:space="preserve">ready </t>
        </is>
      </c>
      <c r="B4336">
        <f>VLOOKUP(28,Requirements!A2:B2967,2,FALSE)</f>
        <v/>
      </c>
    </row>
    <row r="4337">
      <c r="A4337" t="inlineStr">
        <is>
          <t xml:space="preserve">ready </t>
        </is>
      </c>
      <c r="B4337">
        <f>VLOOKUP(93,Requirements!A2:B2967,2,FALSE)</f>
        <v/>
      </c>
    </row>
    <row r="4338">
      <c r="A4338" t="inlineStr">
        <is>
          <t xml:space="preserve">ready </t>
        </is>
      </c>
      <c r="B4338">
        <f>VLOOKUP(225,Requirements!A2:B2967,2,FALSE)</f>
        <v/>
      </c>
    </row>
    <row r="4339">
      <c r="A4339" t="inlineStr">
        <is>
          <t xml:space="preserve">ready </t>
        </is>
      </c>
      <c r="B4339">
        <f>VLOOKUP(234,Requirements!A2:B2967,2,FALSE)</f>
        <v/>
      </c>
    </row>
    <row r="4340">
      <c r="A4340" t="inlineStr">
        <is>
          <t xml:space="preserve">ready </t>
        </is>
      </c>
      <c r="B4340">
        <f>VLOOKUP(291,Requirements!A2:B2967,2,FALSE)</f>
        <v/>
      </c>
    </row>
    <row r="4341">
      <c r="A4341" t="inlineStr">
        <is>
          <t xml:space="preserve">ready </t>
        </is>
      </c>
      <c r="B4341">
        <f>VLOOKUP(376,Requirements!A2:B2967,2,FALSE)</f>
        <v/>
      </c>
    </row>
    <row r="4342">
      <c r="A4342" t="inlineStr">
        <is>
          <t xml:space="preserve">ready </t>
        </is>
      </c>
      <c r="B4342">
        <f>VLOOKUP(651,Requirements!A2:B2967,2,FALSE)</f>
        <v/>
      </c>
    </row>
    <row r="4343">
      <c r="A4343" t="inlineStr">
        <is>
          <t xml:space="preserve">ready </t>
        </is>
      </c>
      <c r="B4343">
        <f>VLOOKUP(665,Requirements!A2:B2967,2,FALSE)</f>
        <v/>
      </c>
    </row>
    <row r="4344">
      <c r="A4344" t="inlineStr">
        <is>
          <t xml:space="preserve">ready </t>
        </is>
      </c>
      <c r="B4344">
        <f>VLOOKUP(672,Requirements!A2:B2967,2,FALSE)</f>
        <v/>
      </c>
    </row>
    <row r="4345">
      <c r="A4345" t="inlineStr">
        <is>
          <t xml:space="preserve">ready </t>
        </is>
      </c>
      <c r="B4345">
        <f>VLOOKUP(778,Requirements!A2:B2967,2,FALSE)</f>
        <v/>
      </c>
    </row>
    <row r="4346">
      <c r="A4346" t="inlineStr">
        <is>
          <t xml:space="preserve">ready </t>
        </is>
      </c>
      <c r="B4346">
        <f>VLOOKUP(839,Requirements!A2:B2967,2,FALSE)</f>
        <v/>
      </c>
    </row>
    <row r="4347">
      <c r="A4347" t="inlineStr">
        <is>
          <t xml:space="preserve">ready </t>
        </is>
      </c>
      <c r="B4347">
        <f>VLOOKUP(1168,Requirements!A2:B2967,2,FALSE)</f>
        <v/>
      </c>
    </row>
    <row r="4348">
      <c r="A4348" t="inlineStr">
        <is>
          <t xml:space="preserve">ready </t>
        </is>
      </c>
      <c r="B4348">
        <f>VLOOKUP(1282,Requirements!A2:B2967,2,FALSE)</f>
        <v/>
      </c>
    </row>
    <row r="4349">
      <c r="A4349" t="inlineStr">
        <is>
          <t xml:space="preserve">ready </t>
        </is>
      </c>
      <c r="B4349">
        <f>VLOOKUP(1292,Requirements!A2:B2967,2,FALSE)</f>
        <v/>
      </c>
    </row>
    <row r="4350">
      <c r="A4350" t="inlineStr">
        <is>
          <t xml:space="preserve">ready </t>
        </is>
      </c>
      <c r="B4350">
        <f>VLOOKUP(1333,Requirements!A2:B2967,2,FALSE)</f>
        <v/>
      </c>
    </row>
    <row r="4351">
      <c r="A4351" t="inlineStr">
        <is>
          <t xml:space="preserve">ready </t>
        </is>
      </c>
      <c r="B4351">
        <f>VLOOKUP(1568,Requirements!A2:B2967,2,FALSE)</f>
        <v/>
      </c>
    </row>
    <row r="4352">
      <c r="A4352" t="inlineStr">
        <is>
          <t xml:space="preserve">ready </t>
        </is>
      </c>
      <c r="B4352">
        <f>VLOOKUP(1825,Requirements!A2:B2967,2,FALSE)</f>
        <v/>
      </c>
    </row>
    <row r="4353">
      <c r="A4353" t="inlineStr">
        <is>
          <t xml:space="preserve">ready </t>
        </is>
      </c>
      <c r="B4353">
        <f>VLOOKUP(1847,Requirements!A2:B2967,2,FALSE)</f>
        <v/>
      </c>
    </row>
    <row r="4354">
      <c r="A4354" t="inlineStr">
        <is>
          <t xml:space="preserve">ready </t>
        </is>
      </c>
      <c r="B4354">
        <f>VLOOKUP(1915,Requirements!A2:B2967,2,FALSE)</f>
        <v/>
      </c>
    </row>
    <row r="4355">
      <c r="A4355" t="inlineStr">
        <is>
          <t xml:space="preserve">ready </t>
        </is>
      </c>
      <c r="B4355">
        <f>VLOOKUP(2004,Requirements!A2:B2967,2,FALSE)</f>
        <v/>
      </c>
    </row>
    <row r="4356">
      <c r="A4356" t="inlineStr">
        <is>
          <t xml:space="preserve">ready </t>
        </is>
      </c>
      <c r="B4356">
        <f>VLOOKUP(2046,Requirements!A2:B2967,2,FALSE)</f>
        <v/>
      </c>
    </row>
    <row r="4357">
      <c r="A4357" t="inlineStr">
        <is>
          <t xml:space="preserve">ready </t>
        </is>
      </c>
      <c r="B4357">
        <f>VLOOKUP(2055,Requirements!A2:B2967,2,FALSE)</f>
        <v/>
      </c>
    </row>
    <row r="4358">
      <c r="A4358" t="inlineStr">
        <is>
          <t xml:space="preserve">ready </t>
        </is>
      </c>
      <c r="B4358">
        <f>VLOOKUP(2259,Requirements!A2:B2967,2,FALSE)</f>
        <v/>
      </c>
    </row>
    <row r="4359">
      <c r="A4359" t="inlineStr">
        <is>
          <t xml:space="preserve">ready </t>
        </is>
      </c>
      <c r="B4359">
        <f>VLOOKUP(2278,Requirements!A2:B2967,2,FALSE)</f>
        <v/>
      </c>
    </row>
    <row r="4360">
      <c r="A4360" t="inlineStr">
        <is>
          <t xml:space="preserve">ready </t>
        </is>
      </c>
      <c r="B4360">
        <f>VLOOKUP(2329,Requirements!A2:B2967,2,FALSE)</f>
        <v/>
      </c>
    </row>
    <row r="4361">
      <c r="A4361" t="inlineStr">
        <is>
          <t xml:space="preserve">ready </t>
        </is>
      </c>
      <c r="B4361">
        <f>VLOOKUP(2575,Requirements!A2:B2967,2,FALSE)</f>
        <v/>
      </c>
    </row>
    <row r="4362">
      <c r="A4362" t="inlineStr">
        <is>
          <t xml:space="preserve">ready </t>
        </is>
      </c>
      <c r="B4362">
        <f>VLOOKUP(2584,Requirements!A2:B2967,2,FALSE)</f>
        <v/>
      </c>
    </row>
    <row r="4363">
      <c r="A4363" t="inlineStr">
        <is>
          <t xml:space="preserve">ready </t>
        </is>
      </c>
      <c r="B4363">
        <f>VLOOKUP(2648,Requirements!A2:B2967,2,FALSE)</f>
        <v/>
      </c>
    </row>
    <row r="4364">
      <c r="A4364" t="inlineStr">
        <is>
          <t xml:space="preserve">ready </t>
        </is>
      </c>
      <c r="B4364">
        <f>VLOOKUP(2742,Requirements!A2:B2967,2,FALSE)</f>
        <v/>
      </c>
    </row>
    <row r="4365">
      <c r="A4365" t="inlineStr">
        <is>
          <t xml:space="preserve">ready </t>
        </is>
      </c>
      <c r="B4365">
        <f>VLOOKUP(2826,Requirements!A2:B2967,2,FALSE)</f>
        <v/>
      </c>
    </row>
    <row r="4366">
      <c r="A4366" t="inlineStr">
        <is>
          <t xml:space="preserve">ready </t>
        </is>
      </c>
      <c r="B4366">
        <f>VLOOKUP(2843,Requirements!A2:B2967,2,FALSE)</f>
        <v/>
      </c>
    </row>
    <row r="4367">
      <c r="A4367" t="inlineStr">
        <is>
          <t xml:space="preserve">ready </t>
        </is>
      </c>
      <c r="B4367">
        <f>VLOOKUP(2881,Requirements!A2:B2967,2,FALSE)</f>
        <v/>
      </c>
    </row>
    <row r="4368">
      <c r="A4368" t="inlineStr">
        <is>
          <t xml:space="preserve">music fan </t>
        </is>
      </c>
      <c r="B4368">
        <f>VLOOKUP(29,Requirements!A2:B2967,2,FALSE)</f>
        <v/>
      </c>
    </row>
    <row r="4369">
      <c r="A4369" t="inlineStr">
        <is>
          <t xml:space="preserve">music fan </t>
        </is>
      </c>
      <c r="B4369">
        <f>VLOOKUP(380,Requirements!A2:B2967,2,FALSE)</f>
        <v/>
      </c>
    </row>
    <row r="4370">
      <c r="A4370" t="inlineStr">
        <is>
          <t xml:space="preserve">music fan </t>
        </is>
      </c>
      <c r="B4370">
        <f>VLOOKUP(1672,Requirements!A2:B2967,2,FALSE)</f>
        <v/>
      </c>
    </row>
    <row r="4371">
      <c r="A4371" t="inlineStr">
        <is>
          <t xml:space="preserve">music fan </t>
        </is>
      </c>
      <c r="B4371">
        <f>VLOOKUP(1698,Requirements!A2:B2967,2,FALSE)</f>
        <v/>
      </c>
    </row>
    <row r="4372">
      <c r="A4372" t="inlineStr">
        <is>
          <t xml:space="preserve">music fan </t>
        </is>
      </c>
      <c r="B4372">
        <f>VLOOKUP(2620,Requirements!A2:B2967,2,FALSE)</f>
        <v/>
      </c>
    </row>
    <row r="4373">
      <c r="A4373" t="inlineStr">
        <is>
          <t xml:space="preserve">available </t>
        </is>
      </c>
      <c r="B4373">
        <f>VLOOKUP(29,Requirements!A2:B2967,2,FALSE)</f>
        <v/>
      </c>
    </row>
    <row r="4374">
      <c r="A4374" t="inlineStr">
        <is>
          <t xml:space="preserve">available </t>
        </is>
      </c>
      <c r="B4374">
        <f>VLOOKUP(464,Requirements!A2:B2967,2,FALSE)</f>
        <v/>
      </c>
    </row>
    <row r="4375">
      <c r="A4375" t="inlineStr">
        <is>
          <t xml:space="preserve">available </t>
        </is>
      </c>
      <c r="B4375">
        <f>VLOOKUP(1202,Requirements!A2:B2967,2,FALSE)</f>
        <v/>
      </c>
    </row>
    <row r="4376">
      <c r="A4376" t="inlineStr">
        <is>
          <t xml:space="preserve">available </t>
        </is>
      </c>
      <c r="B4376">
        <f>VLOOKUP(1586,Requirements!A2:B2967,2,FALSE)</f>
        <v/>
      </c>
    </row>
    <row r="4377">
      <c r="A4377" t="inlineStr">
        <is>
          <t xml:space="preserve">available </t>
        </is>
      </c>
      <c r="B4377">
        <f>VLOOKUP(1869,Requirements!A2:B2967,2,FALSE)</f>
        <v/>
      </c>
    </row>
    <row r="4378">
      <c r="A4378" t="inlineStr">
        <is>
          <t xml:space="preserve">available </t>
        </is>
      </c>
      <c r="B4378">
        <f>VLOOKUP(2131,Requirements!A2:B2967,2,FALSE)</f>
        <v/>
      </c>
    </row>
    <row r="4379">
      <c r="A4379" t="inlineStr">
        <is>
          <t xml:space="preserve">available </t>
        </is>
      </c>
      <c r="B4379">
        <f>VLOOKUP(2235,Requirements!A2:B2967,2,FALSE)</f>
        <v/>
      </c>
    </row>
    <row r="4380">
      <c r="A4380" t="inlineStr">
        <is>
          <t xml:space="preserve">available </t>
        </is>
      </c>
      <c r="B4380">
        <f>VLOOKUP(2257,Requirements!A2:B2967,2,FALSE)</f>
        <v/>
      </c>
    </row>
    <row r="4381">
      <c r="A4381" t="inlineStr">
        <is>
          <t xml:space="preserve">available </t>
        </is>
      </c>
      <c r="B4381">
        <f>VLOOKUP(2363,Requirements!A2:B2967,2,FALSE)</f>
        <v/>
      </c>
    </row>
    <row r="4382">
      <c r="A4382" t="inlineStr">
        <is>
          <t xml:space="preserve">available </t>
        </is>
      </c>
      <c r="B4382">
        <f>VLOOKUP(2496,Requirements!A2:B2967,2,FALSE)</f>
        <v/>
      </c>
    </row>
    <row r="4383">
      <c r="A4383" t="inlineStr">
        <is>
          <t xml:space="preserve">available </t>
        </is>
      </c>
      <c r="B4383">
        <f>VLOOKUP(2774,Requirements!A2:B2967,2,FALSE)</f>
        <v/>
      </c>
    </row>
    <row r="4384">
      <c r="A4384" t="inlineStr">
        <is>
          <t xml:space="preserve">available </t>
        </is>
      </c>
      <c r="B4384">
        <f>VLOOKUP(2797,Requirements!A2:B2967,2,FALSE)</f>
        <v/>
      </c>
    </row>
    <row r="4385">
      <c r="A4385" t="inlineStr">
        <is>
          <t xml:space="preserve">temperature </t>
        </is>
      </c>
      <c r="B4385">
        <f>VLOOKUP(31,Requirements!A2:B2967,2,FALSE)</f>
        <v/>
      </c>
    </row>
    <row r="4386">
      <c r="A4386" t="inlineStr">
        <is>
          <t xml:space="preserve">temperature </t>
        </is>
      </c>
      <c r="B4386">
        <f>VLOOKUP(82,Requirements!A2:B2967,2,FALSE)</f>
        <v/>
      </c>
    </row>
    <row r="4387">
      <c r="A4387" t="inlineStr">
        <is>
          <t xml:space="preserve">temperature </t>
        </is>
      </c>
      <c r="B4387">
        <f>VLOOKUP(89,Requirements!A2:B2967,2,FALSE)</f>
        <v/>
      </c>
    </row>
    <row r="4388">
      <c r="A4388" t="inlineStr">
        <is>
          <t xml:space="preserve">temperature </t>
        </is>
      </c>
      <c r="B4388">
        <f>VLOOKUP(96,Requirements!A2:B2967,2,FALSE)</f>
        <v/>
      </c>
    </row>
    <row r="4389">
      <c r="A4389" t="inlineStr">
        <is>
          <t xml:space="preserve">temperature </t>
        </is>
      </c>
      <c r="B4389">
        <f>VLOOKUP(121,Requirements!A2:B2967,2,FALSE)</f>
        <v/>
      </c>
    </row>
    <row r="4390">
      <c r="A4390" t="inlineStr">
        <is>
          <t xml:space="preserve">temperature </t>
        </is>
      </c>
      <c r="B4390">
        <f>VLOOKUP(153,Requirements!A2:B2967,2,FALSE)</f>
        <v/>
      </c>
    </row>
    <row r="4391">
      <c r="A4391" t="inlineStr">
        <is>
          <t xml:space="preserve">temperature </t>
        </is>
      </c>
      <c r="B4391">
        <f>VLOOKUP(215,Requirements!A2:B2967,2,FALSE)</f>
        <v/>
      </c>
    </row>
    <row r="4392">
      <c r="A4392" t="inlineStr">
        <is>
          <t xml:space="preserve">temperature </t>
        </is>
      </c>
      <c r="B4392">
        <f>VLOOKUP(217,Requirements!A2:B2967,2,FALSE)</f>
        <v/>
      </c>
    </row>
    <row r="4393">
      <c r="A4393" t="inlineStr">
        <is>
          <t xml:space="preserve">temperature </t>
        </is>
      </c>
      <c r="B4393">
        <f>VLOOKUP(233,Requirements!A2:B2967,2,FALSE)</f>
        <v/>
      </c>
    </row>
    <row r="4394">
      <c r="A4394" t="inlineStr">
        <is>
          <t xml:space="preserve">temperature </t>
        </is>
      </c>
      <c r="B4394">
        <f>VLOOKUP(236,Requirements!A2:B2967,2,FALSE)</f>
        <v/>
      </c>
    </row>
    <row r="4395">
      <c r="A4395" t="inlineStr">
        <is>
          <t xml:space="preserve">temperature </t>
        </is>
      </c>
      <c r="B4395">
        <f>VLOOKUP(242,Requirements!A2:B2967,2,FALSE)</f>
        <v/>
      </c>
    </row>
    <row r="4396">
      <c r="A4396" t="inlineStr">
        <is>
          <t xml:space="preserve">temperature </t>
        </is>
      </c>
      <c r="B4396">
        <f>VLOOKUP(258,Requirements!A2:B2967,2,FALSE)</f>
        <v/>
      </c>
    </row>
    <row r="4397">
      <c r="A4397" t="inlineStr">
        <is>
          <t xml:space="preserve">temperature </t>
        </is>
      </c>
      <c r="B4397">
        <f>VLOOKUP(269,Requirements!A2:B2967,2,FALSE)</f>
        <v/>
      </c>
    </row>
    <row r="4398">
      <c r="A4398" t="inlineStr">
        <is>
          <t xml:space="preserve">temperature </t>
        </is>
      </c>
      <c r="B4398">
        <f>VLOOKUP(278,Requirements!A2:B2967,2,FALSE)</f>
        <v/>
      </c>
    </row>
    <row r="4399">
      <c r="A4399" t="inlineStr">
        <is>
          <t xml:space="preserve">temperature </t>
        </is>
      </c>
      <c r="B4399">
        <f>VLOOKUP(305,Requirements!A2:B2967,2,FALSE)</f>
        <v/>
      </c>
    </row>
    <row r="4400">
      <c r="A4400" t="inlineStr">
        <is>
          <t xml:space="preserve">temperature </t>
        </is>
      </c>
      <c r="B4400">
        <f>VLOOKUP(341,Requirements!A2:B2967,2,FALSE)</f>
        <v/>
      </c>
    </row>
    <row r="4401">
      <c r="A4401" t="inlineStr">
        <is>
          <t xml:space="preserve">temperature </t>
        </is>
      </c>
      <c r="B4401">
        <f>VLOOKUP(343,Requirements!A2:B2967,2,FALSE)</f>
        <v/>
      </c>
    </row>
    <row r="4402">
      <c r="A4402" t="inlineStr">
        <is>
          <t xml:space="preserve">temperature </t>
        </is>
      </c>
      <c r="B4402">
        <f>VLOOKUP(368,Requirements!A2:B2967,2,FALSE)</f>
        <v/>
      </c>
    </row>
    <row r="4403">
      <c r="A4403" t="inlineStr">
        <is>
          <t xml:space="preserve">temperature </t>
        </is>
      </c>
      <c r="B4403">
        <f>VLOOKUP(369,Requirements!A2:B2967,2,FALSE)</f>
        <v/>
      </c>
    </row>
    <row r="4404">
      <c r="A4404" t="inlineStr">
        <is>
          <t xml:space="preserve">temperature </t>
        </is>
      </c>
      <c r="B4404">
        <f>VLOOKUP(410,Requirements!A2:B2967,2,FALSE)</f>
        <v/>
      </c>
    </row>
    <row r="4405">
      <c r="A4405" t="inlineStr">
        <is>
          <t xml:space="preserve">temperature </t>
        </is>
      </c>
      <c r="B4405">
        <f>VLOOKUP(417,Requirements!A2:B2967,2,FALSE)</f>
        <v/>
      </c>
    </row>
    <row r="4406">
      <c r="A4406" t="inlineStr">
        <is>
          <t xml:space="preserve">temperature </t>
        </is>
      </c>
      <c r="B4406">
        <f>VLOOKUP(493,Requirements!A2:B2967,2,FALSE)</f>
        <v/>
      </c>
    </row>
    <row r="4407">
      <c r="A4407" t="inlineStr">
        <is>
          <t xml:space="preserve">temperature </t>
        </is>
      </c>
      <c r="B4407">
        <f>VLOOKUP(502,Requirements!A2:B2967,2,FALSE)</f>
        <v/>
      </c>
    </row>
    <row r="4408">
      <c r="A4408" t="inlineStr">
        <is>
          <t xml:space="preserve">temperature </t>
        </is>
      </c>
      <c r="B4408">
        <f>VLOOKUP(542,Requirements!A2:B2967,2,FALSE)</f>
        <v/>
      </c>
    </row>
    <row r="4409">
      <c r="A4409" t="inlineStr">
        <is>
          <t xml:space="preserve">temperature </t>
        </is>
      </c>
      <c r="B4409">
        <f>VLOOKUP(545,Requirements!A2:B2967,2,FALSE)</f>
        <v/>
      </c>
    </row>
    <row r="4410">
      <c r="A4410" t="inlineStr">
        <is>
          <t xml:space="preserve">temperature </t>
        </is>
      </c>
      <c r="B4410">
        <f>VLOOKUP(600,Requirements!A2:B2967,2,FALSE)</f>
        <v/>
      </c>
    </row>
    <row r="4411">
      <c r="A4411" t="inlineStr">
        <is>
          <t xml:space="preserve">temperature </t>
        </is>
      </c>
      <c r="B4411">
        <f>VLOOKUP(627,Requirements!A2:B2967,2,FALSE)</f>
        <v/>
      </c>
    </row>
    <row r="4412">
      <c r="A4412" t="inlineStr">
        <is>
          <t xml:space="preserve">temperature </t>
        </is>
      </c>
      <c r="B4412">
        <f>VLOOKUP(664,Requirements!A2:B2967,2,FALSE)</f>
        <v/>
      </c>
    </row>
    <row r="4413">
      <c r="A4413" t="inlineStr">
        <is>
          <t xml:space="preserve">temperature </t>
        </is>
      </c>
      <c r="B4413">
        <f>VLOOKUP(691,Requirements!A2:B2967,2,FALSE)</f>
        <v/>
      </c>
    </row>
    <row r="4414">
      <c r="A4414" t="inlineStr">
        <is>
          <t xml:space="preserve">temperature </t>
        </is>
      </c>
      <c r="B4414">
        <f>VLOOKUP(779,Requirements!A2:B2967,2,FALSE)</f>
        <v/>
      </c>
    </row>
    <row r="4415">
      <c r="A4415" t="inlineStr">
        <is>
          <t xml:space="preserve">temperature </t>
        </is>
      </c>
      <c r="B4415">
        <f>VLOOKUP(870,Requirements!A2:B2967,2,FALSE)</f>
        <v/>
      </c>
    </row>
    <row r="4416">
      <c r="A4416" t="inlineStr">
        <is>
          <t xml:space="preserve">temperature </t>
        </is>
      </c>
      <c r="B4416">
        <f>VLOOKUP(909,Requirements!A2:B2967,2,FALSE)</f>
        <v/>
      </c>
    </row>
    <row r="4417">
      <c r="A4417" t="inlineStr">
        <is>
          <t xml:space="preserve">temperature </t>
        </is>
      </c>
      <c r="B4417">
        <f>VLOOKUP(914,Requirements!A2:B2967,2,FALSE)</f>
        <v/>
      </c>
    </row>
    <row r="4418">
      <c r="A4418" t="inlineStr">
        <is>
          <t xml:space="preserve">temperature </t>
        </is>
      </c>
      <c r="B4418">
        <f>VLOOKUP(924,Requirements!A2:B2967,2,FALSE)</f>
        <v/>
      </c>
    </row>
    <row r="4419">
      <c r="A4419" t="inlineStr">
        <is>
          <t xml:space="preserve">temperature </t>
        </is>
      </c>
      <c r="B4419">
        <f>VLOOKUP(930,Requirements!A2:B2967,2,FALSE)</f>
        <v/>
      </c>
    </row>
    <row r="4420">
      <c r="A4420" t="inlineStr">
        <is>
          <t xml:space="preserve">temperature </t>
        </is>
      </c>
      <c r="B4420">
        <f>VLOOKUP(938,Requirements!A2:B2967,2,FALSE)</f>
        <v/>
      </c>
    </row>
    <row r="4421">
      <c r="A4421" t="inlineStr">
        <is>
          <t xml:space="preserve">temperature </t>
        </is>
      </c>
      <c r="B4421">
        <f>VLOOKUP(990,Requirements!A2:B2967,2,FALSE)</f>
        <v/>
      </c>
    </row>
    <row r="4422">
      <c r="A4422" t="inlineStr">
        <is>
          <t xml:space="preserve">temperature </t>
        </is>
      </c>
      <c r="B4422">
        <f>VLOOKUP(1007,Requirements!A2:B2967,2,FALSE)</f>
        <v/>
      </c>
    </row>
    <row r="4423">
      <c r="A4423" t="inlineStr">
        <is>
          <t xml:space="preserve">temperature </t>
        </is>
      </c>
      <c r="B4423">
        <f>VLOOKUP(1028,Requirements!A2:B2967,2,FALSE)</f>
        <v/>
      </c>
    </row>
    <row r="4424">
      <c r="A4424" t="inlineStr">
        <is>
          <t xml:space="preserve">temperature </t>
        </is>
      </c>
      <c r="B4424">
        <f>VLOOKUP(1070,Requirements!A2:B2967,2,FALSE)</f>
        <v/>
      </c>
    </row>
    <row r="4425">
      <c r="A4425" t="inlineStr">
        <is>
          <t xml:space="preserve">temperature </t>
        </is>
      </c>
      <c r="B4425">
        <f>VLOOKUP(1112,Requirements!A2:B2967,2,FALSE)</f>
        <v/>
      </c>
    </row>
    <row r="4426">
      <c r="A4426" t="inlineStr">
        <is>
          <t xml:space="preserve">temperature </t>
        </is>
      </c>
      <c r="B4426">
        <f>VLOOKUP(1151,Requirements!A2:B2967,2,FALSE)</f>
        <v/>
      </c>
    </row>
    <row r="4427">
      <c r="A4427" t="inlineStr">
        <is>
          <t xml:space="preserve">temperature </t>
        </is>
      </c>
      <c r="B4427">
        <f>VLOOKUP(1168,Requirements!A2:B2967,2,FALSE)</f>
        <v/>
      </c>
    </row>
    <row r="4428">
      <c r="A4428" t="inlineStr">
        <is>
          <t xml:space="preserve">temperature </t>
        </is>
      </c>
      <c r="B4428">
        <f>VLOOKUP(1178,Requirements!A2:B2967,2,FALSE)</f>
        <v/>
      </c>
    </row>
    <row r="4429">
      <c r="A4429" t="inlineStr">
        <is>
          <t xml:space="preserve">temperature </t>
        </is>
      </c>
      <c r="B4429">
        <f>VLOOKUP(1250,Requirements!A2:B2967,2,FALSE)</f>
        <v/>
      </c>
    </row>
    <row r="4430">
      <c r="A4430" t="inlineStr">
        <is>
          <t xml:space="preserve">temperature </t>
        </is>
      </c>
      <c r="B4430">
        <f>VLOOKUP(1256,Requirements!A2:B2967,2,FALSE)</f>
        <v/>
      </c>
    </row>
    <row r="4431">
      <c r="A4431" t="inlineStr">
        <is>
          <t xml:space="preserve">temperature </t>
        </is>
      </c>
      <c r="B4431">
        <f>VLOOKUP(1325,Requirements!A2:B2967,2,FALSE)</f>
        <v/>
      </c>
    </row>
    <row r="4432">
      <c r="A4432" t="inlineStr">
        <is>
          <t xml:space="preserve">temperature </t>
        </is>
      </c>
      <c r="B4432">
        <f>VLOOKUP(1407,Requirements!A2:B2967,2,FALSE)</f>
        <v/>
      </c>
    </row>
    <row r="4433">
      <c r="A4433" t="inlineStr">
        <is>
          <t xml:space="preserve">temperature </t>
        </is>
      </c>
      <c r="B4433">
        <f>VLOOKUP(1457,Requirements!A2:B2967,2,FALSE)</f>
        <v/>
      </c>
    </row>
    <row r="4434">
      <c r="A4434" t="inlineStr">
        <is>
          <t xml:space="preserve">temperature </t>
        </is>
      </c>
      <c r="B4434">
        <f>VLOOKUP(1469,Requirements!A2:B2967,2,FALSE)</f>
        <v/>
      </c>
    </row>
    <row r="4435">
      <c r="A4435" t="inlineStr">
        <is>
          <t xml:space="preserve">temperature </t>
        </is>
      </c>
      <c r="B4435">
        <f>VLOOKUP(1479,Requirements!A2:B2967,2,FALSE)</f>
        <v/>
      </c>
    </row>
    <row r="4436">
      <c r="A4436" t="inlineStr">
        <is>
          <t xml:space="preserve">temperature </t>
        </is>
      </c>
      <c r="B4436">
        <f>VLOOKUP(1507,Requirements!A2:B2967,2,FALSE)</f>
        <v/>
      </c>
    </row>
    <row r="4437">
      <c r="A4437" t="inlineStr">
        <is>
          <t xml:space="preserve">temperature </t>
        </is>
      </c>
      <c r="B4437">
        <f>VLOOKUP(1534,Requirements!A2:B2967,2,FALSE)</f>
        <v/>
      </c>
    </row>
    <row r="4438">
      <c r="A4438" t="inlineStr">
        <is>
          <t xml:space="preserve">temperature </t>
        </is>
      </c>
      <c r="B4438">
        <f>VLOOKUP(1536,Requirements!A2:B2967,2,FALSE)</f>
        <v/>
      </c>
    </row>
    <row r="4439">
      <c r="A4439" t="inlineStr">
        <is>
          <t xml:space="preserve">temperature </t>
        </is>
      </c>
      <c r="B4439">
        <f>VLOOKUP(1546,Requirements!A2:B2967,2,FALSE)</f>
        <v/>
      </c>
    </row>
    <row r="4440">
      <c r="A4440" t="inlineStr">
        <is>
          <t xml:space="preserve">temperature </t>
        </is>
      </c>
      <c r="B4440">
        <f>VLOOKUP(1550,Requirements!A2:B2967,2,FALSE)</f>
        <v/>
      </c>
    </row>
    <row r="4441">
      <c r="A4441" t="inlineStr">
        <is>
          <t xml:space="preserve">temperature </t>
        </is>
      </c>
      <c r="B4441">
        <f>VLOOKUP(1552,Requirements!A2:B2967,2,FALSE)</f>
        <v/>
      </c>
    </row>
    <row r="4442">
      <c r="A4442" t="inlineStr">
        <is>
          <t xml:space="preserve">temperature </t>
        </is>
      </c>
      <c r="B4442">
        <f>VLOOKUP(1559,Requirements!A2:B2967,2,FALSE)</f>
        <v/>
      </c>
    </row>
    <row r="4443">
      <c r="A4443" t="inlineStr">
        <is>
          <t xml:space="preserve">temperature </t>
        </is>
      </c>
      <c r="B4443">
        <f>VLOOKUP(1587,Requirements!A2:B2967,2,FALSE)</f>
        <v/>
      </c>
    </row>
    <row r="4444">
      <c r="A4444" t="inlineStr">
        <is>
          <t xml:space="preserve">temperature </t>
        </is>
      </c>
      <c r="B4444">
        <f>VLOOKUP(1663,Requirements!A2:B2967,2,FALSE)</f>
        <v/>
      </c>
    </row>
    <row r="4445">
      <c r="A4445" t="inlineStr">
        <is>
          <t xml:space="preserve">temperature </t>
        </is>
      </c>
      <c r="B4445">
        <f>VLOOKUP(1783,Requirements!A2:B2967,2,FALSE)</f>
        <v/>
      </c>
    </row>
    <row r="4446">
      <c r="A4446" t="inlineStr">
        <is>
          <t xml:space="preserve">temperature </t>
        </is>
      </c>
      <c r="B4446">
        <f>VLOOKUP(1846,Requirements!A2:B2967,2,FALSE)</f>
        <v/>
      </c>
    </row>
    <row r="4447">
      <c r="A4447" t="inlineStr">
        <is>
          <t xml:space="preserve">temperature </t>
        </is>
      </c>
      <c r="B4447">
        <f>VLOOKUP(1853,Requirements!A2:B2967,2,FALSE)</f>
        <v/>
      </c>
    </row>
    <row r="4448">
      <c r="A4448" t="inlineStr">
        <is>
          <t xml:space="preserve">temperature </t>
        </is>
      </c>
      <c r="B4448">
        <f>VLOOKUP(1870,Requirements!A2:B2967,2,FALSE)</f>
        <v/>
      </c>
    </row>
    <row r="4449">
      <c r="A4449" t="inlineStr">
        <is>
          <t xml:space="preserve">temperature </t>
        </is>
      </c>
      <c r="B4449">
        <f>VLOOKUP(1924,Requirements!A2:B2967,2,FALSE)</f>
        <v/>
      </c>
    </row>
    <row r="4450">
      <c r="A4450" t="inlineStr">
        <is>
          <t xml:space="preserve">temperature </t>
        </is>
      </c>
      <c r="B4450">
        <f>VLOOKUP(1928,Requirements!A2:B2967,2,FALSE)</f>
        <v/>
      </c>
    </row>
    <row r="4451">
      <c r="A4451" t="inlineStr">
        <is>
          <t xml:space="preserve">temperature </t>
        </is>
      </c>
      <c r="B4451">
        <f>VLOOKUP(1938,Requirements!A2:B2967,2,FALSE)</f>
        <v/>
      </c>
    </row>
    <row r="4452">
      <c r="A4452" t="inlineStr">
        <is>
          <t xml:space="preserve">temperature </t>
        </is>
      </c>
      <c r="B4452">
        <f>VLOOKUP(2050,Requirements!A2:B2967,2,FALSE)</f>
        <v/>
      </c>
    </row>
    <row r="4453">
      <c r="A4453" t="inlineStr">
        <is>
          <t xml:space="preserve">temperature </t>
        </is>
      </c>
      <c r="B4453">
        <f>VLOOKUP(2081,Requirements!A2:B2967,2,FALSE)</f>
        <v/>
      </c>
    </row>
    <row r="4454">
      <c r="A4454" t="inlineStr">
        <is>
          <t xml:space="preserve">temperature </t>
        </is>
      </c>
      <c r="B4454">
        <f>VLOOKUP(2144,Requirements!A2:B2967,2,FALSE)</f>
        <v/>
      </c>
    </row>
    <row r="4455">
      <c r="A4455" t="inlineStr">
        <is>
          <t xml:space="preserve">temperature </t>
        </is>
      </c>
      <c r="B4455">
        <f>VLOOKUP(2157,Requirements!A2:B2967,2,FALSE)</f>
        <v/>
      </c>
    </row>
    <row r="4456">
      <c r="A4456" t="inlineStr">
        <is>
          <t xml:space="preserve">temperature </t>
        </is>
      </c>
      <c r="B4456">
        <f>VLOOKUP(2188,Requirements!A2:B2967,2,FALSE)</f>
        <v/>
      </c>
    </row>
    <row r="4457">
      <c r="A4457" t="inlineStr">
        <is>
          <t xml:space="preserve">temperature </t>
        </is>
      </c>
      <c r="B4457">
        <f>VLOOKUP(2198,Requirements!A2:B2967,2,FALSE)</f>
        <v/>
      </c>
    </row>
    <row r="4458">
      <c r="A4458" t="inlineStr">
        <is>
          <t xml:space="preserve">temperature </t>
        </is>
      </c>
      <c r="B4458">
        <f>VLOOKUP(2212,Requirements!A2:B2967,2,FALSE)</f>
        <v/>
      </c>
    </row>
    <row r="4459">
      <c r="A4459" t="inlineStr">
        <is>
          <t xml:space="preserve">temperature </t>
        </is>
      </c>
      <c r="B4459">
        <f>VLOOKUP(2324,Requirements!A2:B2967,2,FALSE)</f>
        <v/>
      </c>
    </row>
    <row r="4460">
      <c r="A4460" t="inlineStr">
        <is>
          <t xml:space="preserve">temperature </t>
        </is>
      </c>
      <c r="B4460">
        <f>VLOOKUP(2327,Requirements!A2:B2967,2,FALSE)</f>
        <v/>
      </c>
    </row>
    <row r="4461">
      <c r="A4461" t="inlineStr">
        <is>
          <t xml:space="preserve">temperature </t>
        </is>
      </c>
      <c r="B4461">
        <f>VLOOKUP(2350,Requirements!A2:B2967,2,FALSE)</f>
        <v/>
      </c>
    </row>
    <row r="4462">
      <c r="A4462" t="inlineStr">
        <is>
          <t xml:space="preserve">temperature </t>
        </is>
      </c>
      <c r="B4462">
        <f>VLOOKUP(2379,Requirements!A2:B2967,2,FALSE)</f>
        <v/>
      </c>
    </row>
    <row r="4463">
      <c r="A4463" t="inlineStr">
        <is>
          <t xml:space="preserve">temperature </t>
        </is>
      </c>
      <c r="B4463">
        <f>VLOOKUP(2409,Requirements!A2:B2967,2,FALSE)</f>
        <v/>
      </c>
    </row>
    <row r="4464">
      <c r="A4464" t="inlineStr">
        <is>
          <t xml:space="preserve">temperature </t>
        </is>
      </c>
      <c r="B4464">
        <f>VLOOKUP(2416,Requirements!A2:B2967,2,FALSE)</f>
        <v/>
      </c>
    </row>
    <row r="4465">
      <c r="A4465" t="inlineStr">
        <is>
          <t xml:space="preserve">temperature </t>
        </is>
      </c>
      <c r="B4465">
        <f>VLOOKUP(2422,Requirements!A2:B2967,2,FALSE)</f>
        <v/>
      </c>
    </row>
    <row r="4466">
      <c r="A4466" t="inlineStr">
        <is>
          <t xml:space="preserve">temperature </t>
        </is>
      </c>
      <c r="B4466">
        <f>VLOOKUP(2469,Requirements!A2:B2967,2,FALSE)</f>
        <v/>
      </c>
    </row>
    <row r="4467">
      <c r="A4467" t="inlineStr">
        <is>
          <t xml:space="preserve">temperature </t>
        </is>
      </c>
      <c r="B4467">
        <f>VLOOKUP(2471,Requirements!A2:B2967,2,FALSE)</f>
        <v/>
      </c>
    </row>
    <row r="4468">
      <c r="A4468" t="inlineStr">
        <is>
          <t xml:space="preserve">temperature </t>
        </is>
      </c>
      <c r="B4468">
        <f>VLOOKUP(2560,Requirements!A2:B2967,2,FALSE)</f>
        <v/>
      </c>
    </row>
    <row r="4469">
      <c r="A4469" t="inlineStr">
        <is>
          <t xml:space="preserve">temperature </t>
        </is>
      </c>
      <c r="B4469">
        <f>VLOOKUP(2599,Requirements!A2:B2967,2,FALSE)</f>
        <v/>
      </c>
    </row>
    <row r="4470">
      <c r="A4470" t="inlineStr">
        <is>
          <t xml:space="preserve">temperature </t>
        </is>
      </c>
      <c r="B4470">
        <f>VLOOKUP(2603,Requirements!A2:B2967,2,FALSE)</f>
        <v/>
      </c>
    </row>
    <row r="4471">
      <c r="A4471" t="inlineStr">
        <is>
          <t xml:space="preserve">temperature </t>
        </is>
      </c>
      <c r="B4471">
        <f>VLOOKUP(2605,Requirements!A2:B2967,2,FALSE)</f>
        <v/>
      </c>
    </row>
    <row r="4472">
      <c r="A4472" t="inlineStr">
        <is>
          <t xml:space="preserve">temperature </t>
        </is>
      </c>
      <c r="B4472">
        <f>VLOOKUP(2635,Requirements!A2:B2967,2,FALSE)</f>
        <v/>
      </c>
    </row>
    <row r="4473">
      <c r="A4473" t="inlineStr">
        <is>
          <t xml:space="preserve">temperature </t>
        </is>
      </c>
      <c r="B4473">
        <f>VLOOKUP(2648,Requirements!A2:B2967,2,FALSE)</f>
        <v/>
      </c>
    </row>
    <row r="4474">
      <c r="A4474" t="inlineStr">
        <is>
          <t xml:space="preserve">temperature </t>
        </is>
      </c>
      <c r="B4474">
        <f>VLOOKUP(2682,Requirements!A2:B2967,2,FALSE)</f>
        <v/>
      </c>
    </row>
    <row r="4475">
      <c r="A4475" t="inlineStr">
        <is>
          <t xml:space="preserve">temperature </t>
        </is>
      </c>
      <c r="B4475">
        <f>VLOOKUP(2697,Requirements!A2:B2967,2,FALSE)</f>
        <v/>
      </c>
    </row>
    <row r="4476">
      <c r="A4476" t="inlineStr">
        <is>
          <t xml:space="preserve">temperature </t>
        </is>
      </c>
      <c r="B4476">
        <f>VLOOKUP(2720,Requirements!A2:B2967,2,FALSE)</f>
        <v/>
      </c>
    </row>
    <row r="4477">
      <c r="A4477" t="inlineStr">
        <is>
          <t xml:space="preserve">temperature </t>
        </is>
      </c>
      <c r="B4477">
        <f>VLOOKUP(2744,Requirements!A2:B2967,2,FALSE)</f>
        <v/>
      </c>
    </row>
    <row r="4478">
      <c r="A4478" t="inlineStr">
        <is>
          <t xml:space="preserve">temperature </t>
        </is>
      </c>
      <c r="B4478">
        <f>VLOOKUP(2759,Requirements!A2:B2967,2,FALSE)</f>
        <v/>
      </c>
    </row>
    <row r="4479">
      <c r="A4479" t="inlineStr">
        <is>
          <t xml:space="preserve">temperature </t>
        </is>
      </c>
      <c r="B4479">
        <f>VLOOKUP(2768,Requirements!A2:B2967,2,FALSE)</f>
        <v/>
      </c>
    </row>
    <row r="4480">
      <c r="A4480" t="inlineStr">
        <is>
          <t xml:space="preserve">temperature </t>
        </is>
      </c>
      <c r="B4480">
        <f>VLOOKUP(2778,Requirements!A2:B2967,2,FALSE)</f>
        <v/>
      </c>
    </row>
    <row r="4481">
      <c r="A4481" t="inlineStr">
        <is>
          <t xml:space="preserve">temperature </t>
        </is>
      </c>
      <c r="B4481">
        <f>VLOOKUP(2779,Requirements!A2:B2967,2,FALSE)</f>
        <v/>
      </c>
    </row>
    <row r="4482">
      <c r="A4482" t="inlineStr">
        <is>
          <t xml:space="preserve">temperature </t>
        </is>
      </c>
      <c r="B4482">
        <f>VLOOKUP(2800,Requirements!A2:B2967,2,FALSE)</f>
        <v/>
      </c>
    </row>
    <row r="4483">
      <c r="A4483" t="inlineStr">
        <is>
          <t xml:space="preserve">temperature </t>
        </is>
      </c>
      <c r="B4483">
        <f>VLOOKUP(2803,Requirements!A2:B2967,2,FALSE)</f>
        <v/>
      </c>
    </row>
    <row r="4484">
      <c r="A4484" t="inlineStr">
        <is>
          <t xml:space="preserve">temperature </t>
        </is>
      </c>
      <c r="B4484">
        <f>VLOOKUP(2861,Requirements!A2:B2967,2,FALSE)</f>
        <v/>
      </c>
    </row>
    <row r="4485">
      <c r="A4485" t="inlineStr">
        <is>
          <t xml:space="preserve">temperature </t>
        </is>
      </c>
      <c r="B4485">
        <f>VLOOKUP(2863,Requirements!A2:B2967,2,FALSE)</f>
        <v/>
      </c>
    </row>
    <row r="4486">
      <c r="A4486" t="inlineStr">
        <is>
          <t xml:space="preserve">temperature </t>
        </is>
      </c>
      <c r="B4486">
        <f>VLOOKUP(2870,Requirements!A2:B2967,2,FALSE)</f>
        <v/>
      </c>
    </row>
    <row r="4487">
      <c r="A4487" t="inlineStr">
        <is>
          <t xml:space="preserve">temperature </t>
        </is>
      </c>
      <c r="B4487">
        <f>VLOOKUP(2894,Requirements!A2:B2967,2,FALSE)</f>
        <v/>
      </c>
    </row>
    <row r="4488">
      <c r="A4488" t="inlineStr">
        <is>
          <t xml:space="preserve">temperature </t>
        </is>
      </c>
      <c r="B4488">
        <f>VLOOKUP(2939,Requirements!A2:B2967,2,FALSE)</f>
        <v/>
      </c>
    </row>
    <row r="4489">
      <c r="A4489" t="inlineStr">
        <is>
          <t xml:space="preserve">temperature </t>
        </is>
      </c>
      <c r="B4489">
        <f>VLOOKUP(2954,Requirements!A2:B2967,2,FALSE)</f>
        <v/>
      </c>
    </row>
    <row r="4490">
      <c r="A4490" t="inlineStr">
        <is>
          <t xml:space="preserve">temperature </t>
        </is>
      </c>
      <c r="B4490">
        <f>VLOOKUP(2964,Requirements!A2:B2967,2,FALSE)</f>
        <v/>
      </c>
    </row>
    <row r="4491">
      <c r="A4491" t="inlineStr">
        <is>
          <t xml:space="preserve">temperature </t>
        </is>
      </c>
      <c r="B4491">
        <f>VLOOKUP(2979,Requirements!A2:B2967,2,FALSE)</f>
        <v/>
      </c>
    </row>
    <row r="4492">
      <c r="A4492" t="inlineStr">
        <is>
          <t xml:space="preserve">temperature </t>
        </is>
      </c>
      <c r="B4492">
        <f>VLOOKUP(2980,Requirements!A2:B2967,2,FALSE)</f>
        <v/>
      </c>
    </row>
    <row r="4493">
      <c r="A4493" t="inlineStr">
        <is>
          <t xml:space="preserve">temperature </t>
        </is>
      </c>
      <c r="B4493">
        <f>VLOOKUP(3026,Requirements!A2:B2967,2,FALSE)</f>
        <v/>
      </c>
    </row>
    <row r="4494">
      <c r="A4494" t="inlineStr">
        <is>
          <t xml:space="preserve">temperature </t>
        </is>
      </c>
      <c r="B4494">
        <f>VLOOKUP(3032,Requirements!A2:B2967,2,FALSE)</f>
        <v/>
      </c>
    </row>
    <row r="4495">
      <c r="A4495" t="inlineStr">
        <is>
          <t xml:space="preserve">temperature </t>
        </is>
      </c>
      <c r="B4495">
        <f>VLOOKUP(3050,Requirements!A2:B2967,2,FALSE)</f>
        <v/>
      </c>
    </row>
    <row r="4496">
      <c r="A4496" t="inlineStr">
        <is>
          <t xml:space="preserve">temperature </t>
        </is>
      </c>
      <c r="B4496">
        <f>VLOOKUP(3068,Requirements!A2:B2967,2,FALSE)</f>
        <v/>
      </c>
    </row>
    <row r="4497">
      <c r="A4497" t="inlineStr">
        <is>
          <t xml:space="preserve">temperature </t>
        </is>
      </c>
      <c r="B4497">
        <f>VLOOKUP(3074,Requirements!A2:B2967,2,FALSE)</f>
        <v/>
      </c>
    </row>
    <row r="4498">
      <c r="A4498" t="inlineStr">
        <is>
          <t xml:space="preserve">temperature </t>
        </is>
      </c>
      <c r="B4498">
        <f>VLOOKUP(3103,Requirements!A2:B2967,2,FALSE)</f>
        <v/>
      </c>
    </row>
    <row r="4499">
      <c r="A4499" t="inlineStr">
        <is>
          <t xml:space="preserve">temperature </t>
        </is>
      </c>
      <c r="B4499">
        <f>VLOOKUP(3248,Requirements!A2:B2967,2,FALSE)</f>
        <v/>
      </c>
    </row>
    <row r="4500">
      <c r="A4500" t="inlineStr">
        <is>
          <t xml:space="preserve">temperature </t>
        </is>
      </c>
      <c r="B4500">
        <f>VLOOKUP(3257,Requirements!A2:B2967,2,FALSE)</f>
        <v/>
      </c>
    </row>
    <row r="4501">
      <c r="A4501" t="inlineStr">
        <is>
          <t xml:space="preserve">weather </t>
        </is>
      </c>
      <c r="B4501">
        <f>VLOOKUP(31,Requirements!A2:B2967,2,FALSE)</f>
        <v/>
      </c>
    </row>
    <row r="4502">
      <c r="A4502" t="inlineStr">
        <is>
          <t xml:space="preserve">weather </t>
        </is>
      </c>
      <c r="B4502">
        <f>VLOOKUP(43,Requirements!A2:B2967,2,FALSE)</f>
        <v/>
      </c>
    </row>
    <row r="4503">
      <c r="A4503" t="inlineStr">
        <is>
          <t xml:space="preserve">weather </t>
        </is>
      </c>
      <c r="B4503">
        <f>VLOOKUP(63,Requirements!A2:B2967,2,FALSE)</f>
        <v/>
      </c>
    </row>
    <row r="4504">
      <c r="A4504" t="inlineStr">
        <is>
          <t xml:space="preserve">weather </t>
        </is>
      </c>
      <c r="B4504">
        <f>VLOOKUP(73,Requirements!A2:B2967,2,FALSE)</f>
        <v/>
      </c>
    </row>
    <row r="4505">
      <c r="A4505" t="inlineStr">
        <is>
          <t xml:space="preserve">weather </t>
        </is>
      </c>
      <c r="B4505">
        <f>VLOOKUP(169,Requirements!A2:B2967,2,FALSE)</f>
        <v/>
      </c>
    </row>
    <row r="4506">
      <c r="A4506" t="inlineStr">
        <is>
          <t xml:space="preserve">weather </t>
        </is>
      </c>
      <c r="B4506">
        <f>VLOOKUP(289,Requirements!A2:B2967,2,FALSE)</f>
        <v/>
      </c>
    </row>
    <row r="4507">
      <c r="A4507" t="inlineStr">
        <is>
          <t xml:space="preserve">weather </t>
        </is>
      </c>
      <c r="B4507">
        <f>VLOOKUP(352,Requirements!A2:B2967,2,FALSE)</f>
        <v/>
      </c>
    </row>
    <row r="4508">
      <c r="A4508" t="inlineStr">
        <is>
          <t xml:space="preserve">weather </t>
        </is>
      </c>
      <c r="B4508">
        <f>VLOOKUP(498,Requirements!A2:B2967,2,FALSE)</f>
        <v/>
      </c>
    </row>
    <row r="4509">
      <c r="A4509" t="inlineStr">
        <is>
          <t xml:space="preserve">weather </t>
        </is>
      </c>
      <c r="B4509">
        <f>VLOOKUP(714,Requirements!A2:B2967,2,FALSE)</f>
        <v/>
      </c>
    </row>
    <row r="4510">
      <c r="A4510" t="inlineStr">
        <is>
          <t xml:space="preserve">weather </t>
        </is>
      </c>
      <c r="B4510">
        <f>VLOOKUP(953,Requirements!A2:B2967,2,FALSE)</f>
        <v/>
      </c>
    </row>
    <row r="4511">
      <c r="A4511" t="inlineStr">
        <is>
          <t xml:space="preserve">weather </t>
        </is>
      </c>
      <c r="B4511">
        <f>VLOOKUP(965,Requirements!A2:B2967,2,FALSE)</f>
        <v/>
      </c>
    </row>
    <row r="4512">
      <c r="A4512" t="inlineStr">
        <is>
          <t xml:space="preserve">weather </t>
        </is>
      </c>
      <c r="B4512">
        <f>VLOOKUP(1385,Requirements!A2:B2967,2,FALSE)</f>
        <v/>
      </c>
    </row>
    <row r="4513">
      <c r="A4513" t="inlineStr">
        <is>
          <t xml:space="preserve">weather </t>
        </is>
      </c>
      <c r="B4513">
        <f>VLOOKUP(1406,Requirements!A2:B2967,2,FALSE)</f>
        <v/>
      </c>
    </row>
    <row r="4514">
      <c r="A4514" t="inlineStr">
        <is>
          <t xml:space="preserve">weather </t>
        </is>
      </c>
      <c r="B4514">
        <f>VLOOKUP(1426,Requirements!A2:B2967,2,FALSE)</f>
        <v/>
      </c>
    </row>
    <row r="4515">
      <c r="A4515" t="inlineStr">
        <is>
          <t xml:space="preserve">weather </t>
        </is>
      </c>
      <c r="B4515">
        <f>VLOOKUP(1448,Requirements!A2:B2967,2,FALSE)</f>
        <v/>
      </c>
    </row>
    <row r="4516">
      <c r="A4516" t="inlineStr">
        <is>
          <t xml:space="preserve">weather </t>
        </is>
      </c>
      <c r="B4516">
        <f>VLOOKUP(1485,Requirements!A2:B2967,2,FALSE)</f>
        <v/>
      </c>
    </row>
    <row r="4517">
      <c r="A4517" t="inlineStr">
        <is>
          <t xml:space="preserve">weather </t>
        </is>
      </c>
      <c r="B4517">
        <f>VLOOKUP(1487,Requirements!A2:B2967,2,FALSE)</f>
        <v/>
      </c>
    </row>
    <row r="4518">
      <c r="A4518" t="inlineStr">
        <is>
          <t xml:space="preserve">weather </t>
        </is>
      </c>
      <c r="B4518">
        <f>VLOOKUP(1666,Requirements!A2:B2967,2,FALSE)</f>
        <v/>
      </c>
    </row>
    <row r="4519">
      <c r="A4519" t="inlineStr">
        <is>
          <t xml:space="preserve">weather </t>
        </is>
      </c>
      <c r="B4519">
        <f>VLOOKUP(2142,Requirements!A2:B2967,2,FALSE)</f>
        <v/>
      </c>
    </row>
    <row r="4520">
      <c r="A4520" t="inlineStr">
        <is>
          <t xml:space="preserve">weather </t>
        </is>
      </c>
      <c r="B4520">
        <f>VLOOKUP(2249,Requirements!A2:B2967,2,FALSE)</f>
        <v/>
      </c>
    </row>
    <row r="4521">
      <c r="A4521" t="inlineStr">
        <is>
          <t xml:space="preserve">weather </t>
        </is>
      </c>
      <c r="B4521">
        <f>VLOOKUP(2409,Requirements!A2:B2967,2,FALSE)</f>
        <v/>
      </c>
    </row>
    <row r="4522">
      <c r="A4522" t="inlineStr">
        <is>
          <t xml:space="preserve">weather </t>
        </is>
      </c>
      <c r="B4522">
        <f>VLOOKUP(2468,Requirements!A2:B2967,2,FALSE)</f>
        <v/>
      </c>
    </row>
    <row r="4523">
      <c r="A4523" t="inlineStr">
        <is>
          <t xml:space="preserve">weather </t>
        </is>
      </c>
      <c r="B4523">
        <f>VLOOKUP(2504,Requirements!A2:B2967,2,FALSE)</f>
        <v/>
      </c>
    </row>
    <row r="4524">
      <c r="A4524" t="inlineStr">
        <is>
          <t xml:space="preserve">weather </t>
        </is>
      </c>
      <c r="B4524">
        <f>VLOOKUP(2789,Requirements!A2:B2967,2,FALSE)</f>
        <v/>
      </c>
    </row>
    <row r="4525">
      <c r="A4525" t="inlineStr">
        <is>
          <t xml:space="preserve">weather </t>
        </is>
      </c>
      <c r="B4525">
        <f>VLOOKUP(2796,Requirements!A2:B2967,2,FALSE)</f>
        <v/>
      </c>
    </row>
    <row r="4526">
      <c r="A4526" t="inlineStr">
        <is>
          <t xml:space="preserve">weather </t>
        </is>
      </c>
      <c r="B4526">
        <f>VLOOKUP(2854,Requirements!A2:B2967,2,FALSE)</f>
        <v/>
      </c>
    </row>
    <row r="4527">
      <c r="A4527" t="inlineStr">
        <is>
          <t xml:space="preserve">weather </t>
        </is>
      </c>
      <c r="B4527">
        <f>VLOOKUP(2891,Requirements!A2:B2967,2,FALSE)</f>
        <v/>
      </c>
    </row>
    <row r="4528">
      <c r="A4528" t="inlineStr">
        <is>
          <t xml:space="preserve">weather </t>
        </is>
      </c>
      <c r="B4528">
        <f>VLOOKUP(3202,Requirements!A2:B2967,2,FALSE)</f>
        <v/>
      </c>
    </row>
    <row r="4529">
      <c r="A4529" t="inlineStr">
        <is>
          <t xml:space="preserve">weather </t>
        </is>
      </c>
      <c r="B4529">
        <f>VLOOKUP(3224,Requirements!A2:B2967,2,FALSE)</f>
        <v/>
      </c>
    </row>
    <row r="4530">
      <c r="A4530" t="inlineStr">
        <is>
          <t xml:space="preserve">weather </t>
        </is>
      </c>
      <c r="B4530">
        <f>VLOOKUP(3237,Requirements!A2:B2967,2,FALSE)</f>
        <v/>
      </c>
    </row>
    <row r="4531">
      <c r="A4531" t="inlineStr">
        <is>
          <t xml:space="preserve">energy bill </t>
        </is>
      </c>
      <c r="B4531">
        <f>VLOOKUP(31,Requirements!A2:B2967,2,FALSE)</f>
        <v/>
      </c>
    </row>
    <row r="4532">
      <c r="A4532" t="inlineStr">
        <is>
          <t xml:space="preserve">energy bill </t>
        </is>
      </c>
      <c r="B4532">
        <f>VLOOKUP(283,Requirements!A2:B2967,2,FALSE)</f>
        <v/>
      </c>
    </row>
    <row r="4533">
      <c r="A4533" t="inlineStr">
        <is>
          <t xml:space="preserve">energy bill </t>
        </is>
      </c>
      <c r="B4533">
        <f>VLOOKUP(1253,Requirements!A2:B2967,2,FALSE)</f>
        <v/>
      </c>
    </row>
    <row r="4534">
      <c r="A4534" t="inlineStr">
        <is>
          <t xml:space="preserve">energy bill </t>
        </is>
      </c>
      <c r="B4534">
        <f>VLOOKUP(1262,Requirements!A2:B2967,2,FALSE)</f>
        <v/>
      </c>
    </row>
    <row r="4535">
      <c r="A4535" t="inlineStr">
        <is>
          <t xml:space="preserve">energy bill </t>
        </is>
      </c>
      <c r="B4535">
        <f>VLOOKUP(1273,Requirements!A2:B2967,2,FALSE)</f>
        <v/>
      </c>
    </row>
    <row r="4536">
      <c r="A4536" t="inlineStr">
        <is>
          <t xml:space="preserve">energy bill </t>
        </is>
      </c>
      <c r="B4536">
        <f>VLOOKUP(1694,Requirements!A2:B2967,2,FALSE)</f>
        <v/>
      </c>
    </row>
    <row r="4537">
      <c r="A4537" t="inlineStr">
        <is>
          <t xml:space="preserve">energy bill </t>
        </is>
      </c>
      <c r="B4537">
        <f>VLOOKUP(2025,Requirements!A2:B2967,2,FALSE)</f>
        <v/>
      </c>
    </row>
    <row r="4538">
      <c r="A4538" t="inlineStr">
        <is>
          <t xml:space="preserve">energy bill </t>
        </is>
      </c>
      <c r="B4538">
        <f>VLOOKUP(2119,Requirements!A2:B2967,2,FALSE)</f>
        <v/>
      </c>
    </row>
    <row r="4539">
      <c r="A4539" t="inlineStr">
        <is>
          <t xml:space="preserve">energy bill </t>
        </is>
      </c>
      <c r="B4539">
        <f>VLOOKUP(2855,Requirements!A2:B2967,2,FALSE)</f>
        <v/>
      </c>
    </row>
    <row r="4540">
      <c r="A4540" t="inlineStr">
        <is>
          <t xml:space="preserve">driver </t>
        </is>
      </c>
      <c r="B4540">
        <f>VLOOKUP(33,Requirements!A2:B2967,2,FALSE)</f>
        <v/>
      </c>
    </row>
    <row r="4541">
      <c r="A4541" t="inlineStr">
        <is>
          <t xml:space="preserve">driver </t>
        </is>
      </c>
      <c r="B4541">
        <f>VLOOKUP(788,Requirements!A2:B2967,2,FALSE)</f>
        <v/>
      </c>
    </row>
    <row r="4542">
      <c r="A4542" t="inlineStr">
        <is>
          <t xml:space="preserve">driver </t>
        </is>
      </c>
      <c r="B4542">
        <f>VLOOKUP(2093,Requirements!A2:B2967,2,FALSE)</f>
        <v/>
      </c>
    </row>
    <row r="4543">
      <c r="A4543" t="inlineStr">
        <is>
          <t xml:space="preserve">driver </t>
        </is>
      </c>
      <c r="B4543">
        <f>VLOOKUP(2381,Requirements!A2:B2967,2,FALSE)</f>
        <v/>
      </c>
    </row>
    <row r="4544">
      <c r="A4544" t="inlineStr">
        <is>
          <t xml:space="preserve">driver </t>
        </is>
      </c>
      <c r="B4544">
        <f>VLOOKUP(3012,Requirements!A2:B2967,2,FALSE)</f>
        <v/>
      </c>
    </row>
    <row r="4545">
      <c r="A4545" t="inlineStr">
        <is>
          <t xml:space="preserve">driver </t>
        </is>
      </c>
      <c r="B4545">
        <f>VLOOKUP(3205,Requirements!A2:B2967,2,FALSE)</f>
        <v/>
      </c>
    </row>
    <row r="4546">
      <c r="A4546" t="inlineStr">
        <is>
          <t xml:space="preserve">garage door </t>
        </is>
      </c>
      <c r="B4546">
        <f>VLOOKUP(33,Requirements!A2:B2967,2,FALSE)</f>
        <v/>
      </c>
    </row>
    <row r="4547">
      <c r="A4547" t="inlineStr">
        <is>
          <t xml:space="preserve">garage door </t>
        </is>
      </c>
      <c r="B4547">
        <f>VLOOKUP(84,Requirements!A2:B2967,2,FALSE)</f>
        <v/>
      </c>
    </row>
    <row r="4548">
      <c r="A4548" t="inlineStr">
        <is>
          <t xml:space="preserve">garage door </t>
        </is>
      </c>
      <c r="B4548">
        <f>VLOOKUP(219,Requirements!A2:B2967,2,FALSE)</f>
        <v/>
      </c>
    </row>
    <row r="4549">
      <c r="A4549" t="inlineStr">
        <is>
          <t xml:space="preserve">garage door </t>
        </is>
      </c>
      <c r="B4549">
        <f>VLOOKUP(383,Requirements!A2:B2967,2,FALSE)</f>
        <v/>
      </c>
    </row>
    <row r="4550">
      <c r="A4550" t="inlineStr">
        <is>
          <t xml:space="preserve">garage door </t>
        </is>
      </c>
      <c r="B4550">
        <f>VLOOKUP(832,Requirements!A2:B2967,2,FALSE)</f>
        <v/>
      </c>
    </row>
    <row r="4551">
      <c r="A4551" t="inlineStr">
        <is>
          <t xml:space="preserve">garage door </t>
        </is>
      </c>
      <c r="B4551">
        <f>VLOOKUP(1131,Requirements!A2:B2967,2,FALSE)</f>
        <v/>
      </c>
    </row>
    <row r="4552">
      <c r="A4552" t="inlineStr">
        <is>
          <t xml:space="preserve">garage door </t>
        </is>
      </c>
      <c r="B4552">
        <f>VLOOKUP(1198,Requirements!A2:B2967,2,FALSE)</f>
        <v/>
      </c>
    </row>
    <row r="4553">
      <c r="A4553" t="inlineStr">
        <is>
          <t xml:space="preserve">garage door </t>
        </is>
      </c>
      <c r="B4553">
        <f>VLOOKUP(1218,Requirements!A2:B2967,2,FALSE)</f>
        <v/>
      </c>
    </row>
    <row r="4554">
      <c r="A4554" t="inlineStr">
        <is>
          <t xml:space="preserve">garage door </t>
        </is>
      </c>
      <c r="B4554">
        <f>VLOOKUP(1358,Requirements!A2:B2967,2,FALSE)</f>
        <v/>
      </c>
    </row>
    <row r="4555">
      <c r="A4555" t="inlineStr">
        <is>
          <t xml:space="preserve">garage door </t>
        </is>
      </c>
      <c r="B4555">
        <f>VLOOKUP(1453,Requirements!A2:B2967,2,FALSE)</f>
        <v/>
      </c>
    </row>
    <row r="4556">
      <c r="A4556" t="inlineStr">
        <is>
          <t xml:space="preserve">garage door </t>
        </is>
      </c>
      <c r="B4556">
        <f>VLOOKUP(2028,Requirements!A2:B2967,2,FALSE)</f>
        <v/>
      </c>
    </row>
    <row r="4557">
      <c r="A4557" t="inlineStr">
        <is>
          <t xml:space="preserve">garage door </t>
        </is>
      </c>
      <c r="B4557">
        <f>VLOOKUP(2223,Requirements!A2:B2967,2,FALSE)</f>
        <v/>
      </c>
    </row>
    <row r="4558">
      <c r="A4558" t="inlineStr">
        <is>
          <t xml:space="preserve">garage door </t>
        </is>
      </c>
      <c r="B4558">
        <f>VLOOKUP(2228,Requirements!A2:B2967,2,FALSE)</f>
        <v/>
      </c>
    </row>
    <row r="4559">
      <c r="A4559" t="inlineStr">
        <is>
          <t xml:space="preserve">garage door </t>
        </is>
      </c>
      <c r="B4559">
        <f>VLOOKUP(2276,Requirements!A2:B2967,2,FALSE)</f>
        <v/>
      </c>
    </row>
    <row r="4560">
      <c r="A4560" t="inlineStr">
        <is>
          <t xml:space="preserve">garage door </t>
        </is>
      </c>
      <c r="B4560">
        <f>VLOOKUP(2601,Requirements!A2:B2967,2,FALSE)</f>
        <v/>
      </c>
    </row>
    <row r="4561">
      <c r="A4561" t="inlineStr">
        <is>
          <t xml:space="preserve">garage door </t>
        </is>
      </c>
      <c r="B4561">
        <f>VLOOKUP(2631,Requirements!A2:B2967,2,FALSE)</f>
        <v/>
      </c>
    </row>
    <row r="4562">
      <c r="A4562" t="inlineStr">
        <is>
          <t xml:space="preserve">garage door </t>
        </is>
      </c>
      <c r="B4562">
        <f>VLOOKUP(2756,Requirements!A2:B2967,2,FALSE)</f>
        <v/>
      </c>
    </row>
    <row r="4563">
      <c r="A4563" t="inlineStr">
        <is>
          <t xml:space="preserve">garage door </t>
        </is>
      </c>
      <c r="B4563">
        <f>VLOOKUP(3083,Requirements!A2:B2967,2,FALSE)</f>
        <v/>
      </c>
    </row>
    <row r="4564">
      <c r="A4564" t="inlineStr">
        <is>
          <t xml:space="preserve">garage door </t>
        </is>
      </c>
      <c r="B4564">
        <f>VLOOKUP(3244,Requirements!A2:B2967,2,FALSE)</f>
        <v/>
      </c>
    </row>
    <row r="4565">
      <c r="A4565" t="inlineStr">
        <is>
          <t xml:space="preserve">sens </t>
        </is>
      </c>
      <c r="B4565">
        <f>VLOOKUP(33,Requirements!A2:B2967,2,FALSE)</f>
        <v/>
      </c>
    </row>
    <row r="4566">
      <c r="A4566" t="inlineStr">
        <is>
          <t xml:space="preserve">sens </t>
        </is>
      </c>
      <c r="B4566">
        <f>VLOOKUP(659,Requirements!A2:B2967,2,FALSE)</f>
        <v/>
      </c>
    </row>
    <row r="4567">
      <c r="A4567" t="inlineStr">
        <is>
          <t xml:space="preserve">sens </t>
        </is>
      </c>
      <c r="B4567">
        <f>VLOOKUP(734,Requirements!A2:B2967,2,FALSE)</f>
        <v/>
      </c>
    </row>
    <row r="4568">
      <c r="A4568" t="inlineStr">
        <is>
          <t xml:space="preserve">sens </t>
        </is>
      </c>
      <c r="B4568">
        <f>VLOOKUP(1083,Requirements!A2:B2967,2,FALSE)</f>
        <v/>
      </c>
    </row>
    <row r="4569">
      <c r="A4569" t="inlineStr">
        <is>
          <t xml:space="preserve">sens </t>
        </is>
      </c>
      <c r="B4569">
        <f>VLOOKUP(1156,Requirements!A2:B2967,2,FALSE)</f>
        <v/>
      </c>
    </row>
    <row r="4570">
      <c r="A4570" t="inlineStr">
        <is>
          <t xml:space="preserve">sens </t>
        </is>
      </c>
      <c r="B4570">
        <f>VLOOKUP(1202,Requirements!A2:B2967,2,FALSE)</f>
        <v/>
      </c>
    </row>
    <row r="4571">
      <c r="A4571" t="inlineStr">
        <is>
          <t xml:space="preserve">sens </t>
        </is>
      </c>
      <c r="B4571">
        <f>VLOOKUP(1453,Requirements!A2:B2967,2,FALSE)</f>
        <v/>
      </c>
    </row>
    <row r="4572">
      <c r="A4572" t="inlineStr">
        <is>
          <t xml:space="preserve">sens </t>
        </is>
      </c>
      <c r="B4572">
        <f>VLOOKUP(1670,Requirements!A2:B2967,2,FALSE)</f>
        <v/>
      </c>
    </row>
    <row r="4573">
      <c r="A4573" t="inlineStr">
        <is>
          <t xml:space="preserve">sens </t>
        </is>
      </c>
      <c r="B4573">
        <f>VLOOKUP(1872,Requirements!A2:B2967,2,FALSE)</f>
        <v/>
      </c>
    </row>
    <row r="4574">
      <c r="A4574" t="inlineStr">
        <is>
          <t xml:space="preserve">sens </t>
        </is>
      </c>
      <c r="B4574">
        <f>VLOOKUP(1991,Requirements!A2:B2967,2,FALSE)</f>
        <v/>
      </c>
    </row>
    <row r="4575">
      <c r="A4575" t="inlineStr">
        <is>
          <t xml:space="preserve">sens </t>
        </is>
      </c>
      <c r="B4575">
        <f>VLOOKUP(2177,Requirements!A2:B2967,2,FALSE)</f>
        <v/>
      </c>
    </row>
    <row r="4576">
      <c r="A4576" t="inlineStr">
        <is>
          <t xml:space="preserve">sens </t>
        </is>
      </c>
      <c r="B4576">
        <f>VLOOKUP(2600,Requirements!A2:B2967,2,FALSE)</f>
        <v/>
      </c>
    </row>
    <row r="4577">
      <c r="A4577" t="inlineStr">
        <is>
          <t xml:space="preserve">sens </t>
        </is>
      </c>
      <c r="B4577">
        <f>VLOOKUP(3103,Requirements!A2:B2967,2,FALSE)</f>
        <v/>
      </c>
    </row>
    <row r="4578">
      <c r="A4578" t="inlineStr">
        <is>
          <t xml:space="preserve">sens </t>
        </is>
      </c>
      <c r="B4578">
        <f>VLOOKUP(3114,Requirements!A2:B2967,2,FALSE)</f>
        <v/>
      </c>
    </row>
    <row r="4579">
      <c r="A4579" t="inlineStr">
        <is>
          <t xml:space="preserve">sens </t>
        </is>
      </c>
      <c r="B4579">
        <f>VLOOKUP(3119,Requirements!A2:B2967,2,FALSE)</f>
        <v/>
      </c>
    </row>
    <row r="4580">
      <c r="A4580" t="inlineStr">
        <is>
          <t xml:space="preserve">sens </t>
        </is>
      </c>
      <c r="B4580">
        <f>VLOOKUP(3245,Requirements!A2:B2967,2,FALSE)</f>
        <v/>
      </c>
    </row>
    <row r="4581">
      <c r="A4581" t="inlineStr">
        <is>
          <t xml:space="preserve">vehicle </t>
        </is>
      </c>
      <c r="B4581">
        <f>VLOOKUP(33,Requirements!A2:B2967,2,FALSE)</f>
        <v/>
      </c>
    </row>
    <row r="4582">
      <c r="A4582" t="inlineStr">
        <is>
          <t xml:space="preserve">vehicle </t>
        </is>
      </c>
      <c r="B4582">
        <f>VLOOKUP(176,Requirements!A2:B2967,2,FALSE)</f>
        <v/>
      </c>
    </row>
    <row r="4583">
      <c r="A4583" t="inlineStr">
        <is>
          <t xml:space="preserve">vehicle </t>
        </is>
      </c>
      <c r="B4583">
        <f>VLOOKUP(219,Requirements!A2:B2967,2,FALSE)</f>
        <v/>
      </c>
    </row>
    <row r="4584">
      <c r="A4584" t="inlineStr">
        <is>
          <t xml:space="preserve">vehicle </t>
        </is>
      </c>
      <c r="B4584">
        <f>VLOOKUP(251,Requirements!A2:B2967,2,FALSE)</f>
        <v/>
      </c>
    </row>
    <row r="4585">
      <c r="A4585" t="inlineStr">
        <is>
          <t xml:space="preserve">vehicle </t>
        </is>
      </c>
      <c r="B4585">
        <f>VLOOKUP(703,Requirements!A2:B2967,2,FALSE)</f>
        <v/>
      </c>
    </row>
    <row r="4586">
      <c r="A4586" t="inlineStr">
        <is>
          <t xml:space="preserve">vehicle </t>
        </is>
      </c>
      <c r="B4586">
        <f>VLOOKUP(928,Requirements!A2:B2967,2,FALSE)</f>
        <v/>
      </c>
    </row>
    <row r="4587">
      <c r="A4587" t="inlineStr">
        <is>
          <t xml:space="preserve">vehicle </t>
        </is>
      </c>
      <c r="B4587">
        <f>VLOOKUP(980,Requirements!A2:B2967,2,FALSE)</f>
        <v/>
      </c>
    </row>
    <row r="4588">
      <c r="A4588" t="inlineStr">
        <is>
          <t xml:space="preserve">vehicle </t>
        </is>
      </c>
      <c r="B4588">
        <f>VLOOKUP(1024,Requirements!A2:B2967,2,FALSE)</f>
        <v/>
      </c>
    </row>
    <row r="4589">
      <c r="A4589" t="inlineStr">
        <is>
          <t xml:space="preserve">vehicle </t>
        </is>
      </c>
      <c r="B4589">
        <f>VLOOKUP(1594,Requirements!A2:B2967,2,FALSE)</f>
        <v/>
      </c>
    </row>
    <row r="4590">
      <c r="A4590" t="inlineStr">
        <is>
          <t xml:space="preserve">vehicle </t>
        </is>
      </c>
      <c r="B4590">
        <f>VLOOKUP(2639,Requirements!A2:B2967,2,FALSE)</f>
        <v/>
      </c>
    </row>
    <row r="4591">
      <c r="A4591" t="inlineStr">
        <is>
          <t xml:space="preserve">vehicle </t>
        </is>
      </c>
      <c r="B4591">
        <f>VLOOKUP(2818,Requirements!A2:B2967,2,FALSE)</f>
        <v/>
      </c>
    </row>
    <row r="4592">
      <c r="A4592" t="inlineStr">
        <is>
          <t xml:space="preserve">outside </t>
        </is>
      </c>
      <c r="B4592">
        <f>VLOOKUP(33,Requirements!A2:B2967,2,FALSE)</f>
        <v/>
      </c>
    </row>
    <row r="4593">
      <c r="A4593" t="inlineStr">
        <is>
          <t xml:space="preserve">outside </t>
        </is>
      </c>
      <c r="B4593">
        <f>VLOOKUP(347,Requirements!A2:B2967,2,FALSE)</f>
        <v/>
      </c>
    </row>
    <row r="4594">
      <c r="A4594" t="inlineStr">
        <is>
          <t xml:space="preserve">outside </t>
        </is>
      </c>
      <c r="B4594">
        <f>VLOOKUP(431,Requirements!A2:B2967,2,FALSE)</f>
        <v/>
      </c>
    </row>
    <row r="4595">
      <c r="A4595" t="inlineStr">
        <is>
          <t xml:space="preserve">outside </t>
        </is>
      </c>
      <c r="B4595">
        <f>VLOOKUP(458,Requirements!A2:B2967,2,FALSE)</f>
        <v/>
      </c>
    </row>
    <row r="4596">
      <c r="A4596" t="inlineStr">
        <is>
          <t xml:space="preserve">outside </t>
        </is>
      </c>
      <c r="B4596">
        <f>VLOOKUP(525,Requirements!A2:B2967,2,FALSE)</f>
        <v/>
      </c>
    </row>
    <row r="4597">
      <c r="A4597" t="inlineStr">
        <is>
          <t xml:space="preserve">outside </t>
        </is>
      </c>
      <c r="B4597">
        <f>VLOOKUP(666,Requirements!A2:B2967,2,FALSE)</f>
        <v/>
      </c>
    </row>
    <row r="4598">
      <c r="A4598" t="inlineStr">
        <is>
          <t xml:space="preserve">outside </t>
        </is>
      </c>
      <c r="B4598">
        <f>VLOOKUP(675,Requirements!A2:B2967,2,FALSE)</f>
        <v/>
      </c>
    </row>
    <row r="4599">
      <c r="A4599" t="inlineStr">
        <is>
          <t xml:space="preserve">outside </t>
        </is>
      </c>
      <c r="B4599">
        <f>VLOOKUP(700,Requirements!A2:B2967,2,FALSE)</f>
        <v/>
      </c>
    </row>
    <row r="4600">
      <c r="A4600" t="inlineStr">
        <is>
          <t xml:space="preserve">outside </t>
        </is>
      </c>
      <c r="B4600">
        <f>VLOOKUP(703,Requirements!A2:B2967,2,FALSE)</f>
        <v/>
      </c>
    </row>
    <row r="4601">
      <c r="A4601" t="inlineStr">
        <is>
          <t xml:space="preserve">outside </t>
        </is>
      </c>
      <c r="B4601">
        <f>VLOOKUP(716,Requirements!A2:B2967,2,FALSE)</f>
        <v/>
      </c>
    </row>
    <row r="4602">
      <c r="A4602" t="inlineStr">
        <is>
          <t xml:space="preserve">outside </t>
        </is>
      </c>
      <c r="B4602">
        <f>VLOOKUP(1134,Requirements!A2:B2967,2,FALSE)</f>
        <v/>
      </c>
    </row>
    <row r="4603">
      <c r="A4603" t="inlineStr">
        <is>
          <t xml:space="preserve">outside </t>
        </is>
      </c>
      <c r="B4603">
        <f>VLOOKUP(1270,Requirements!A2:B2967,2,FALSE)</f>
        <v/>
      </c>
    </row>
    <row r="4604">
      <c r="A4604" t="inlineStr">
        <is>
          <t xml:space="preserve">outside </t>
        </is>
      </c>
      <c r="B4604">
        <f>VLOOKUP(1273,Requirements!A2:B2967,2,FALSE)</f>
        <v/>
      </c>
    </row>
    <row r="4605">
      <c r="A4605" t="inlineStr">
        <is>
          <t xml:space="preserve">outside </t>
        </is>
      </c>
      <c r="B4605">
        <f>VLOOKUP(1375,Requirements!A2:B2967,2,FALSE)</f>
        <v/>
      </c>
    </row>
    <row r="4606">
      <c r="A4606" t="inlineStr">
        <is>
          <t xml:space="preserve">outside </t>
        </is>
      </c>
      <c r="B4606">
        <f>VLOOKUP(1495,Requirements!A2:B2967,2,FALSE)</f>
        <v/>
      </c>
    </row>
    <row r="4607">
      <c r="A4607" t="inlineStr">
        <is>
          <t xml:space="preserve">outside </t>
        </is>
      </c>
      <c r="B4607">
        <f>VLOOKUP(1590,Requirements!A2:B2967,2,FALSE)</f>
        <v/>
      </c>
    </row>
    <row r="4608">
      <c r="A4608" t="inlineStr">
        <is>
          <t xml:space="preserve">outside </t>
        </is>
      </c>
      <c r="B4608">
        <f>VLOOKUP(1853,Requirements!A2:B2967,2,FALSE)</f>
        <v/>
      </c>
    </row>
    <row r="4609">
      <c r="A4609" t="inlineStr">
        <is>
          <t xml:space="preserve">outside </t>
        </is>
      </c>
      <c r="B4609">
        <f>VLOOKUP(1863,Requirements!A2:B2967,2,FALSE)</f>
        <v/>
      </c>
    </row>
    <row r="4610">
      <c r="A4610" t="inlineStr">
        <is>
          <t xml:space="preserve">outside </t>
        </is>
      </c>
      <c r="B4610">
        <f>VLOOKUP(1916,Requirements!A2:B2967,2,FALSE)</f>
        <v/>
      </c>
    </row>
    <row r="4611">
      <c r="A4611" t="inlineStr">
        <is>
          <t xml:space="preserve">outside </t>
        </is>
      </c>
      <c r="B4611">
        <f>VLOOKUP(1928,Requirements!A2:B2967,2,FALSE)</f>
        <v/>
      </c>
    </row>
    <row r="4612">
      <c r="A4612" t="inlineStr">
        <is>
          <t xml:space="preserve">outside </t>
        </is>
      </c>
      <c r="B4612">
        <f>VLOOKUP(1934,Requirements!A2:B2967,2,FALSE)</f>
        <v/>
      </c>
    </row>
    <row r="4613">
      <c r="A4613" t="inlineStr">
        <is>
          <t xml:space="preserve">outside </t>
        </is>
      </c>
      <c r="B4613">
        <f>VLOOKUP(1969,Requirements!A2:B2967,2,FALSE)</f>
        <v/>
      </c>
    </row>
    <row r="4614">
      <c r="A4614" t="inlineStr">
        <is>
          <t xml:space="preserve">outside </t>
        </is>
      </c>
      <c r="B4614">
        <f>VLOOKUP(2006,Requirements!A2:B2967,2,FALSE)</f>
        <v/>
      </c>
    </row>
    <row r="4615">
      <c r="A4615" t="inlineStr">
        <is>
          <t xml:space="preserve">outside </t>
        </is>
      </c>
      <c r="B4615">
        <f>VLOOKUP(2040,Requirements!A2:B2967,2,FALSE)</f>
        <v/>
      </c>
    </row>
    <row r="4616">
      <c r="A4616" t="inlineStr">
        <is>
          <t xml:space="preserve">outside </t>
        </is>
      </c>
      <c r="B4616">
        <f>VLOOKUP(2057,Requirements!A2:B2967,2,FALSE)</f>
        <v/>
      </c>
    </row>
    <row r="4617">
      <c r="A4617" t="inlineStr">
        <is>
          <t xml:space="preserve">outside </t>
        </is>
      </c>
      <c r="B4617">
        <f>VLOOKUP(2098,Requirements!A2:B2967,2,FALSE)</f>
        <v/>
      </c>
    </row>
    <row r="4618">
      <c r="A4618" t="inlineStr">
        <is>
          <t xml:space="preserve">outside </t>
        </is>
      </c>
      <c r="B4618">
        <f>VLOOKUP(2186,Requirements!A2:B2967,2,FALSE)</f>
        <v/>
      </c>
    </row>
    <row r="4619">
      <c r="A4619" t="inlineStr">
        <is>
          <t xml:space="preserve">outside </t>
        </is>
      </c>
      <c r="B4619">
        <f>VLOOKUP(2201,Requirements!A2:B2967,2,FALSE)</f>
        <v/>
      </c>
    </row>
    <row r="4620">
      <c r="A4620" t="inlineStr">
        <is>
          <t xml:space="preserve">outside </t>
        </is>
      </c>
      <c r="B4620">
        <f>VLOOKUP(2244,Requirements!A2:B2967,2,FALSE)</f>
        <v/>
      </c>
    </row>
    <row r="4621">
      <c r="A4621" t="inlineStr">
        <is>
          <t xml:space="preserve">outside </t>
        </is>
      </c>
      <c r="B4621">
        <f>VLOOKUP(2390,Requirements!A2:B2967,2,FALSE)</f>
        <v/>
      </c>
    </row>
    <row r="4622">
      <c r="A4622" t="inlineStr">
        <is>
          <t xml:space="preserve">outside </t>
        </is>
      </c>
      <c r="B4622">
        <f>VLOOKUP(2435,Requirements!A2:B2967,2,FALSE)</f>
        <v/>
      </c>
    </row>
    <row r="4623">
      <c r="A4623" t="inlineStr">
        <is>
          <t xml:space="preserve">outside </t>
        </is>
      </c>
      <c r="B4623">
        <f>VLOOKUP(2611,Requirements!A2:B2967,2,FALSE)</f>
        <v/>
      </c>
    </row>
    <row r="4624">
      <c r="A4624" t="inlineStr">
        <is>
          <t xml:space="preserve">outside </t>
        </is>
      </c>
      <c r="B4624">
        <f>VLOOKUP(2635,Requirements!A2:B2967,2,FALSE)</f>
        <v/>
      </c>
    </row>
    <row r="4625">
      <c r="A4625" t="inlineStr">
        <is>
          <t xml:space="preserve">outside </t>
        </is>
      </c>
      <c r="B4625">
        <f>VLOOKUP(2639,Requirements!A2:B2967,2,FALSE)</f>
        <v/>
      </c>
    </row>
    <row r="4626">
      <c r="A4626" t="inlineStr">
        <is>
          <t xml:space="preserve">outside </t>
        </is>
      </c>
      <c r="B4626">
        <f>VLOOKUP(2717,Requirements!A2:B2967,2,FALSE)</f>
        <v/>
      </c>
    </row>
    <row r="4627">
      <c r="A4627" t="inlineStr">
        <is>
          <t xml:space="preserve">outside </t>
        </is>
      </c>
      <c r="B4627">
        <f>VLOOKUP(2743,Requirements!A2:B2967,2,FALSE)</f>
        <v/>
      </c>
    </row>
    <row r="4628">
      <c r="A4628" t="inlineStr">
        <is>
          <t xml:space="preserve">outside </t>
        </is>
      </c>
      <c r="B4628">
        <f>VLOOKUP(2944,Requirements!A2:B2967,2,FALSE)</f>
        <v/>
      </c>
    </row>
    <row r="4629">
      <c r="A4629" t="inlineStr">
        <is>
          <t xml:space="preserve">outside </t>
        </is>
      </c>
      <c r="B4629">
        <f>VLOOKUP(2954,Requirements!A2:B2967,2,FALSE)</f>
        <v/>
      </c>
    </row>
    <row r="4630">
      <c r="A4630" t="inlineStr">
        <is>
          <t xml:space="preserve">outside </t>
        </is>
      </c>
      <c r="B4630">
        <f>VLOOKUP(2956,Requirements!A2:B2967,2,FALSE)</f>
        <v/>
      </c>
    </row>
    <row r="4631">
      <c r="A4631" t="inlineStr">
        <is>
          <t xml:space="preserve">outside </t>
        </is>
      </c>
      <c r="B4631">
        <f>VLOOKUP(3228,Requirements!A2:B2967,2,FALSE)</f>
        <v/>
      </c>
    </row>
    <row r="4632">
      <c r="A4632" t="inlineStr">
        <is>
          <t xml:space="preserve">outside </t>
        </is>
      </c>
      <c r="B4632">
        <f>VLOOKUP(3235,Requirements!A2:B2967,2,FALSE)</f>
        <v/>
      </c>
    </row>
    <row r="4633">
      <c r="A4633" t="inlineStr">
        <is>
          <t xml:space="preserve">outside </t>
        </is>
      </c>
      <c r="B4633">
        <f>VLOOKUP(3274,Requirements!A2:B2967,2,FALSE)</f>
        <v/>
      </c>
    </row>
    <row r="4634">
      <c r="A4634" t="inlineStr">
        <is>
          <t xml:space="preserve">control </t>
        </is>
      </c>
      <c r="B4634">
        <f>VLOOKUP(33,Requirements!A2:B2967,2,FALSE)</f>
        <v/>
      </c>
    </row>
    <row r="4635">
      <c r="A4635" t="inlineStr">
        <is>
          <t xml:space="preserve">control </t>
        </is>
      </c>
      <c r="B4635">
        <f>VLOOKUP(39,Requirements!A2:B2967,2,FALSE)</f>
        <v/>
      </c>
    </row>
    <row r="4636">
      <c r="A4636" t="inlineStr">
        <is>
          <t xml:space="preserve">control </t>
        </is>
      </c>
      <c r="B4636">
        <f>VLOOKUP(92,Requirements!A2:B2967,2,FALSE)</f>
        <v/>
      </c>
    </row>
    <row r="4637">
      <c r="A4637" t="inlineStr">
        <is>
          <t xml:space="preserve">control </t>
        </is>
      </c>
      <c r="B4637">
        <f>VLOOKUP(200,Requirements!A2:B2967,2,FALSE)</f>
        <v/>
      </c>
    </row>
    <row r="4638">
      <c r="A4638" t="inlineStr">
        <is>
          <t xml:space="preserve">control </t>
        </is>
      </c>
      <c r="B4638">
        <f>VLOOKUP(215,Requirements!A2:B2967,2,FALSE)</f>
        <v/>
      </c>
    </row>
    <row r="4639">
      <c r="A4639" t="inlineStr">
        <is>
          <t xml:space="preserve">control </t>
        </is>
      </c>
      <c r="B4639">
        <f>VLOOKUP(216,Requirements!A2:B2967,2,FALSE)</f>
        <v/>
      </c>
    </row>
    <row r="4640">
      <c r="A4640" t="inlineStr">
        <is>
          <t xml:space="preserve">control </t>
        </is>
      </c>
      <c r="B4640">
        <f>VLOOKUP(270,Requirements!A2:B2967,2,FALSE)</f>
        <v/>
      </c>
    </row>
    <row r="4641">
      <c r="A4641" t="inlineStr">
        <is>
          <t xml:space="preserve">control </t>
        </is>
      </c>
      <c r="B4641">
        <f>VLOOKUP(467,Requirements!A2:B2967,2,FALSE)</f>
        <v/>
      </c>
    </row>
    <row r="4642">
      <c r="A4642" t="inlineStr">
        <is>
          <t xml:space="preserve">control </t>
        </is>
      </c>
      <c r="B4642">
        <f>VLOOKUP(563,Requirements!A2:B2967,2,FALSE)</f>
        <v/>
      </c>
    </row>
    <row r="4643">
      <c r="A4643" t="inlineStr">
        <is>
          <t xml:space="preserve">control </t>
        </is>
      </c>
      <c r="B4643">
        <f>VLOOKUP(655,Requirements!A2:B2967,2,FALSE)</f>
        <v/>
      </c>
    </row>
    <row r="4644">
      <c r="A4644" t="inlineStr">
        <is>
          <t xml:space="preserve">control </t>
        </is>
      </c>
      <c r="B4644">
        <f>VLOOKUP(1236,Requirements!A2:B2967,2,FALSE)</f>
        <v/>
      </c>
    </row>
    <row r="4645">
      <c r="A4645" t="inlineStr">
        <is>
          <t xml:space="preserve">control </t>
        </is>
      </c>
      <c r="B4645">
        <f>VLOOKUP(1382,Requirements!A2:B2967,2,FALSE)</f>
        <v/>
      </c>
    </row>
    <row r="4646">
      <c r="A4646" t="inlineStr">
        <is>
          <t xml:space="preserve">control </t>
        </is>
      </c>
      <c r="B4646">
        <f>VLOOKUP(1464,Requirements!A2:B2967,2,FALSE)</f>
        <v/>
      </c>
    </row>
    <row r="4647">
      <c r="A4647" t="inlineStr">
        <is>
          <t xml:space="preserve">control </t>
        </is>
      </c>
      <c r="B4647">
        <f>VLOOKUP(1552,Requirements!A2:B2967,2,FALSE)</f>
        <v/>
      </c>
    </row>
    <row r="4648">
      <c r="A4648" t="inlineStr">
        <is>
          <t xml:space="preserve">control </t>
        </is>
      </c>
      <c r="B4648">
        <f>VLOOKUP(1774,Requirements!A2:B2967,2,FALSE)</f>
        <v/>
      </c>
    </row>
    <row r="4649">
      <c r="A4649" t="inlineStr">
        <is>
          <t xml:space="preserve">control </t>
        </is>
      </c>
      <c r="B4649">
        <f>VLOOKUP(1835,Requirements!A2:B2967,2,FALSE)</f>
        <v/>
      </c>
    </row>
    <row r="4650">
      <c r="A4650" t="inlineStr">
        <is>
          <t xml:space="preserve">control </t>
        </is>
      </c>
      <c r="B4650">
        <f>VLOOKUP(1868,Requirements!A2:B2967,2,FALSE)</f>
        <v/>
      </c>
    </row>
    <row r="4651">
      <c r="A4651" t="inlineStr">
        <is>
          <t xml:space="preserve">control </t>
        </is>
      </c>
      <c r="B4651">
        <f>VLOOKUP(1879,Requirements!A2:B2967,2,FALSE)</f>
        <v/>
      </c>
    </row>
    <row r="4652">
      <c r="A4652" t="inlineStr">
        <is>
          <t xml:space="preserve">control </t>
        </is>
      </c>
      <c r="B4652">
        <f>VLOOKUP(1905,Requirements!A2:B2967,2,FALSE)</f>
        <v/>
      </c>
    </row>
    <row r="4653">
      <c r="A4653" t="inlineStr">
        <is>
          <t xml:space="preserve">control </t>
        </is>
      </c>
      <c r="B4653">
        <f>VLOOKUP(2113,Requirements!A2:B2967,2,FALSE)</f>
        <v/>
      </c>
    </row>
    <row r="4654">
      <c r="A4654" t="inlineStr">
        <is>
          <t xml:space="preserve">control </t>
        </is>
      </c>
      <c r="B4654">
        <f>VLOOKUP(2379,Requirements!A2:B2967,2,FALSE)</f>
        <v/>
      </c>
    </row>
    <row r="4655">
      <c r="A4655" t="inlineStr">
        <is>
          <t xml:space="preserve">control </t>
        </is>
      </c>
      <c r="B4655">
        <f>VLOOKUP(2422,Requirements!A2:B2967,2,FALSE)</f>
        <v/>
      </c>
    </row>
    <row r="4656">
      <c r="A4656" t="inlineStr">
        <is>
          <t xml:space="preserve">control </t>
        </is>
      </c>
      <c r="B4656">
        <f>VLOOKUP(2630,Requirements!A2:B2967,2,FALSE)</f>
        <v/>
      </c>
    </row>
    <row r="4657">
      <c r="A4657" t="inlineStr">
        <is>
          <t xml:space="preserve">control </t>
        </is>
      </c>
      <c r="B4657">
        <f>VLOOKUP(2812,Requirements!A2:B2967,2,FALSE)</f>
        <v/>
      </c>
    </row>
    <row r="4658">
      <c r="A4658" t="inlineStr">
        <is>
          <t xml:space="preserve">control </t>
        </is>
      </c>
      <c r="B4658">
        <f>VLOOKUP(2928,Requirements!A2:B2967,2,FALSE)</f>
        <v/>
      </c>
    </row>
    <row r="4659">
      <c r="A4659" t="inlineStr">
        <is>
          <t xml:space="preserve">control </t>
        </is>
      </c>
      <c r="B4659">
        <f>VLOOKUP(3074,Requirements!A2:B2967,2,FALSE)</f>
        <v/>
      </c>
    </row>
    <row r="4660">
      <c r="A4660" t="inlineStr">
        <is>
          <t xml:space="preserve">control </t>
        </is>
      </c>
      <c r="B4660">
        <f>VLOOKUP(3097,Requirements!A2:B2967,2,FALSE)</f>
        <v/>
      </c>
    </row>
    <row r="4661">
      <c r="A4661" t="inlineStr">
        <is>
          <t xml:space="preserve">control </t>
        </is>
      </c>
      <c r="B4661">
        <f>VLOOKUP(3168,Requirements!A2:B2967,2,FALSE)</f>
        <v/>
      </c>
    </row>
    <row r="4662">
      <c r="A4662" t="inlineStr">
        <is>
          <t xml:space="preserve">control </t>
        </is>
      </c>
      <c r="B4662">
        <f>VLOOKUP(3257,Requirements!A2:B2967,2,FALSE)</f>
        <v/>
      </c>
    </row>
    <row r="4663">
      <c r="A4663" t="inlineStr">
        <is>
          <t xml:space="preserve">control </t>
        </is>
      </c>
      <c r="B4663">
        <f>VLOOKUP(3259,Requirements!A2:B2967,2,FALSE)</f>
        <v/>
      </c>
    </row>
    <row r="4664">
      <c r="A4664" t="inlineStr">
        <is>
          <t xml:space="preserve">nobody </t>
        </is>
      </c>
      <c r="B4664">
        <f>VLOOKUP(34,Requirements!A2:B2967,2,FALSE)</f>
        <v/>
      </c>
    </row>
    <row r="4665">
      <c r="A4665" t="inlineStr">
        <is>
          <t xml:space="preserve">nobody </t>
        </is>
      </c>
      <c r="B4665">
        <f>VLOOKUP(686,Requirements!A2:B2967,2,FALSE)</f>
        <v/>
      </c>
    </row>
    <row r="4666">
      <c r="A4666" t="inlineStr">
        <is>
          <t xml:space="preserve">nobody </t>
        </is>
      </c>
      <c r="B4666">
        <f>VLOOKUP(994,Requirements!A2:B2967,2,FALSE)</f>
        <v/>
      </c>
    </row>
    <row r="4667">
      <c r="A4667" t="inlineStr">
        <is>
          <t xml:space="preserve">nobody </t>
        </is>
      </c>
      <c r="B4667">
        <f>VLOOKUP(1016,Requirements!A2:B2967,2,FALSE)</f>
        <v/>
      </c>
    </row>
    <row r="4668">
      <c r="A4668" t="inlineStr">
        <is>
          <t xml:space="preserve">nobody </t>
        </is>
      </c>
      <c r="B4668">
        <f>VLOOKUP(1019,Requirements!A2:B2967,2,FALSE)</f>
        <v/>
      </c>
    </row>
    <row r="4669">
      <c r="A4669" t="inlineStr">
        <is>
          <t xml:space="preserve">nobody </t>
        </is>
      </c>
      <c r="B4669">
        <f>VLOOKUP(1608,Requirements!A2:B2967,2,FALSE)</f>
        <v/>
      </c>
    </row>
    <row r="4670">
      <c r="A4670" t="inlineStr">
        <is>
          <t xml:space="preserve">nobody </t>
        </is>
      </c>
      <c r="B4670">
        <f>VLOOKUP(1938,Requirements!A2:B2967,2,FALSE)</f>
        <v/>
      </c>
    </row>
    <row r="4671">
      <c r="A4671" t="inlineStr">
        <is>
          <t xml:space="preserve">nobody </t>
        </is>
      </c>
      <c r="B4671">
        <f>VLOOKUP(2064,Requirements!A2:B2967,2,FALSE)</f>
        <v/>
      </c>
    </row>
    <row r="4672">
      <c r="A4672" t="inlineStr">
        <is>
          <t xml:space="preserve">nobody </t>
        </is>
      </c>
      <c r="B4672">
        <f>VLOOKUP(2391,Requirements!A2:B2967,2,FALSE)</f>
        <v/>
      </c>
    </row>
    <row r="4673">
      <c r="A4673" t="inlineStr">
        <is>
          <t xml:space="preserve">nobody </t>
        </is>
      </c>
      <c r="B4673">
        <f>VLOOKUP(2951,Requirements!A2:B2967,2,FALSE)</f>
        <v/>
      </c>
    </row>
    <row r="4674">
      <c r="A4674" t="inlineStr">
        <is>
          <t xml:space="preserve">nobody </t>
        </is>
      </c>
      <c r="B4674">
        <f>VLOOKUP(3231,Requirements!A2:B2967,2,FALSE)</f>
        <v/>
      </c>
    </row>
    <row r="4675">
      <c r="A4675" t="inlineStr">
        <is>
          <t xml:space="preserve">electricity </t>
        </is>
      </c>
      <c r="B4675">
        <f>VLOOKUP(34,Requirements!A2:B2967,2,FALSE)</f>
        <v/>
      </c>
    </row>
    <row r="4676">
      <c r="A4676" t="inlineStr">
        <is>
          <t xml:space="preserve">electricity </t>
        </is>
      </c>
      <c r="B4676">
        <f>VLOOKUP(72,Requirements!A2:B2967,2,FALSE)</f>
        <v/>
      </c>
    </row>
    <row r="4677">
      <c r="A4677" t="inlineStr">
        <is>
          <t xml:space="preserve">electricity </t>
        </is>
      </c>
      <c r="B4677">
        <f>VLOOKUP(88,Requirements!A2:B2967,2,FALSE)</f>
        <v/>
      </c>
    </row>
    <row r="4678">
      <c r="A4678" t="inlineStr">
        <is>
          <t xml:space="preserve">electricity </t>
        </is>
      </c>
      <c r="B4678">
        <f>VLOOKUP(193,Requirements!A2:B2967,2,FALSE)</f>
        <v/>
      </c>
    </row>
    <row r="4679">
      <c r="A4679" t="inlineStr">
        <is>
          <t xml:space="preserve">electricity </t>
        </is>
      </c>
      <c r="B4679">
        <f>VLOOKUP(194,Requirements!A2:B2967,2,FALSE)</f>
        <v/>
      </c>
    </row>
    <row r="4680">
      <c r="A4680" t="inlineStr">
        <is>
          <t xml:space="preserve">electricity </t>
        </is>
      </c>
      <c r="B4680">
        <f>VLOOKUP(205,Requirements!A2:B2967,2,FALSE)</f>
        <v/>
      </c>
    </row>
    <row r="4681">
      <c r="A4681" t="inlineStr">
        <is>
          <t xml:space="preserve">electricity </t>
        </is>
      </c>
      <c r="B4681">
        <f>VLOOKUP(210,Requirements!A2:B2967,2,FALSE)</f>
        <v/>
      </c>
    </row>
    <row r="4682">
      <c r="A4682" t="inlineStr">
        <is>
          <t xml:space="preserve">electricity </t>
        </is>
      </c>
      <c r="B4682">
        <f>VLOOKUP(228,Requirements!A2:B2967,2,FALSE)</f>
        <v/>
      </c>
    </row>
    <row r="4683">
      <c r="A4683" t="inlineStr">
        <is>
          <t xml:space="preserve">electricity </t>
        </is>
      </c>
      <c r="B4683">
        <f>VLOOKUP(334,Requirements!A2:B2967,2,FALSE)</f>
        <v/>
      </c>
    </row>
    <row r="4684">
      <c r="A4684" t="inlineStr">
        <is>
          <t xml:space="preserve">electricity </t>
        </is>
      </c>
      <c r="B4684">
        <f>VLOOKUP(342,Requirements!A2:B2967,2,FALSE)</f>
        <v/>
      </c>
    </row>
    <row r="4685">
      <c r="A4685" t="inlineStr">
        <is>
          <t xml:space="preserve">electricity </t>
        </is>
      </c>
      <c r="B4685">
        <f>VLOOKUP(386,Requirements!A2:B2967,2,FALSE)</f>
        <v/>
      </c>
    </row>
    <row r="4686">
      <c r="A4686" t="inlineStr">
        <is>
          <t xml:space="preserve">electricity </t>
        </is>
      </c>
      <c r="B4686">
        <f>VLOOKUP(409,Requirements!A2:B2967,2,FALSE)</f>
        <v/>
      </c>
    </row>
    <row r="4687">
      <c r="A4687" t="inlineStr">
        <is>
          <t xml:space="preserve">electricity </t>
        </is>
      </c>
      <c r="B4687">
        <f>VLOOKUP(451,Requirements!A2:B2967,2,FALSE)</f>
        <v/>
      </c>
    </row>
    <row r="4688">
      <c r="A4688" t="inlineStr">
        <is>
          <t xml:space="preserve">electricity </t>
        </is>
      </c>
      <c r="B4688">
        <f>VLOOKUP(491,Requirements!A2:B2967,2,FALSE)</f>
        <v/>
      </c>
    </row>
    <row r="4689">
      <c r="A4689" t="inlineStr">
        <is>
          <t xml:space="preserve">electricity </t>
        </is>
      </c>
      <c r="B4689">
        <f>VLOOKUP(535,Requirements!A2:B2967,2,FALSE)</f>
        <v/>
      </c>
    </row>
    <row r="4690">
      <c r="A4690" t="inlineStr">
        <is>
          <t xml:space="preserve">electricity </t>
        </is>
      </c>
      <c r="B4690">
        <f>VLOOKUP(581,Requirements!A2:B2967,2,FALSE)</f>
        <v/>
      </c>
    </row>
    <row r="4691">
      <c r="A4691" t="inlineStr">
        <is>
          <t xml:space="preserve">electricity </t>
        </is>
      </c>
      <c r="B4691">
        <f>VLOOKUP(635,Requirements!A2:B2967,2,FALSE)</f>
        <v/>
      </c>
    </row>
    <row r="4692">
      <c r="A4692" t="inlineStr">
        <is>
          <t xml:space="preserve">electricity </t>
        </is>
      </c>
      <c r="B4692">
        <f>VLOOKUP(846,Requirements!A2:B2967,2,FALSE)</f>
        <v/>
      </c>
    </row>
    <row r="4693">
      <c r="A4693" t="inlineStr">
        <is>
          <t xml:space="preserve">electricity </t>
        </is>
      </c>
      <c r="B4693">
        <f>VLOOKUP(947,Requirements!A2:B2967,2,FALSE)</f>
        <v/>
      </c>
    </row>
    <row r="4694">
      <c r="A4694" t="inlineStr">
        <is>
          <t xml:space="preserve">electricity </t>
        </is>
      </c>
      <c r="B4694">
        <f>VLOOKUP(948,Requirements!A2:B2967,2,FALSE)</f>
        <v/>
      </c>
    </row>
    <row r="4695">
      <c r="A4695" t="inlineStr">
        <is>
          <t xml:space="preserve">electricity </t>
        </is>
      </c>
      <c r="B4695">
        <f>VLOOKUP(1044,Requirements!A2:B2967,2,FALSE)</f>
        <v/>
      </c>
    </row>
    <row r="4696">
      <c r="A4696" t="inlineStr">
        <is>
          <t xml:space="preserve">electricity </t>
        </is>
      </c>
      <c r="B4696">
        <f>VLOOKUP(1314,Requirements!A2:B2967,2,FALSE)</f>
        <v/>
      </c>
    </row>
    <row r="4697">
      <c r="A4697" t="inlineStr">
        <is>
          <t xml:space="preserve">electricity </t>
        </is>
      </c>
      <c r="B4697">
        <f>VLOOKUP(1383,Requirements!A2:B2967,2,FALSE)</f>
        <v/>
      </c>
    </row>
    <row r="4698">
      <c r="A4698" t="inlineStr">
        <is>
          <t xml:space="preserve">electricity </t>
        </is>
      </c>
      <c r="B4698">
        <f>VLOOKUP(1480,Requirements!A2:B2967,2,FALSE)</f>
        <v/>
      </c>
    </row>
    <row r="4699">
      <c r="A4699" t="inlineStr">
        <is>
          <t xml:space="preserve">electricity </t>
        </is>
      </c>
      <c r="B4699">
        <f>VLOOKUP(1496,Requirements!A2:B2967,2,FALSE)</f>
        <v/>
      </c>
    </row>
    <row r="4700">
      <c r="A4700" t="inlineStr">
        <is>
          <t xml:space="preserve">electricity </t>
        </is>
      </c>
      <c r="B4700">
        <f>VLOOKUP(1509,Requirements!A2:B2967,2,FALSE)</f>
        <v/>
      </c>
    </row>
    <row r="4701">
      <c r="A4701" t="inlineStr">
        <is>
          <t xml:space="preserve">electricity </t>
        </is>
      </c>
      <c r="B4701">
        <f>VLOOKUP(1531,Requirements!A2:B2967,2,FALSE)</f>
        <v/>
      </c>
    </row>
    <row r="4702">
      <c r="A4702" t="inlineStr">
        <is>
          <t xml:space="preserve">electricity </t>
        </is>
      </c>
      <c r="B4702">
        <f>VLOOKUP(1540,Requirements!A2:B2967,2,FALSE)</f>
        <v/>
      </c>
    </row>
    <row r="4703">
      <c r="A4703" t="inlineStr">
        <is>
          <t xml:space="preserve">electricity </t>
        </is>
      </c>
      <c r="B4703">
        <f>VLOOKUP(1547,Requirements!A2:B2967,2,FALSE)</f>
        <v/>
      </c>
    </row>
    <row r="4704">
      <c r="A4704" t="inlineStr">
        <is>
          <t xml:space="preserve">electricity </t>
        </is>
      </c>
      <c r="B4704">
        <f>VLOOKUP(1729,Requirements!A2:B2967,2,FALSE)</f>
        <v/>
      </c>
    </row>
    <row r="4705">
      <c r="A4705" t="inlineStr">
        <is>
          <t xml:space="preserve">electricity </t>
        </is>
      </c>
      <c r="B4705">
        <f>VLOOKUP(1735,Requirements!A2:B2967,2,FALSE)</f>
        <v/>
      </c>
    </row>
    <row r="4706">
      <c r="A4706" t="inlineStr">
        <is>
          <t xml:space="preserve">electricity </t>
        </is>
      </c>
      <c r="B4706">
        <f>VLOOKUP(1819,Requirements!A2:B2967,2,FALSE)</f>
        <v/>
      </c>
    </row>
    <row r="4707">
      <c r="A4707" t="inlineStr">
        <is>
          <t xml:space="preserve">electricity </t>
        </is>
      </c>
      <c r="B4707">
        <f>VLOOKUP(1882,Requirements!A2:B2967,2,FALSE)</f>
        <v/>
      </c>
    </row>
    <row r="4708">
      <c r="A4708" t="inlineStr">
        <is>
          <t xml:space="preserve">electricity </t>
        </is>
      </c>
      <c r="B4708">
        <f>VLOOKUP(1921,Requirements!A2:B2967,2,FALSE)</f>
        <v/>
      </c>
    </row>
    <row r="4709">
      <c r="A4709" t="inlineStr">
        <is>
          <t xml:space="preserve">electricity </t>
        </is>
      </c>
      <c r="B4709">
        <f>VLOOKUP(1994,Requirements!A2:B2967,2,FALSE)</f>
        <v/>
      </c>
    </row>
    <row r="4710">
      <c r="A4710" t="inlineStr">
        <is>
          <t xml:space="preserve">electricity </t>
        </is>
      </c>
      <c r="B4710">
        <f>VLOOKUP(2013,Requirements!A2:B2967,2,FALSE)</f>
        <v/>
      </c>
    </row>
    <row r="4711">
      <c r="A4711" t="inlineStr">
        <is>
          <t xml:space="preserve">electricity </t>
        </is>
      </c>
      <c r="B4711">
        <f>VLOOKUP(2074,Requirements!A2:B2967,2,FALSE)</f>
        <v/>
      </c>
    </row>
    <row r="4712">
      <c r="A4712" t="inlineStr">
        <is>
          <t xml:space="preserve">electricity </t>
        </is>
      </c>
      <c r="B4712">
        <f>VLOOKUP(2278,Requirements!A2:B2967,2,FALSE)</f>
        <v/>
      </c>
    </row>
    <row r="4713">
      <c r="A4713" t="inlineStr">
        <is>
          <t xml:space="preserve">electricity </t>
        </is>
      </c>
      <c r="B4713">
        <f>VLOOKUP(2391,Requirements!A2:B2967,2,FALSE)</f>
        <v/>
      </c>
    </row>
    <row r="4714">
      <c r="A4714" t="inlineStr">
        <is>
          <t xml:space="preserve">electricity </t>
        </is>
      </c>
      <c r="B4714">
        <f>VLOOKUP(2472,Requirements!A2:B2967,2,FALSE)</f>
        <v/>
      </c>
    </row>
    <row r="4715">
      <c r="A4715" t="inlineStr">
        <is>
          <t xml:space="preserve">electricity </t>
        </is>
      </c>
      <c r="B4715">
        <f>VLOOKUP(2580,Requirements!A2:B2967,2,FALSE)</f>
        <v/>
      </c>
    </row>
    <row r="4716">
      <c r="A4716" t="inlineStr">
        <is>
          <t xml:space="preserve">electricity </t>
        </is>
      </c>
      <c r="B4716">
        <f>VLOOKUP(2607,Requirements!A2:B2967,2,FALSE)</f>
        <v/>
      </c>
    </row>
    <row r="4717">
      <c r="A4717" t="inlineStr">
        <is>
          <t xml:space="preserve">electricity </t>
        </is>
      </c>
      <c r="B4717">
        <f>VLOOKUP(2674,Requirements!A2:B2967,2,FALSE)</f>
        <v/>
      </c>
    </row>
    <row r="4718">
      <c r="A4718" t="inlineStr">
        <is>
          <t xml:space="preserve">electricity </t>
        </is>
      </c>
      <c r="B4718">
        <f>VLOOKUP(2711,Requirements!A2:B2967,2,FALSE)</f>
        <v/>
      </c>
    </row>
    <row r="4719">
      <c r="A4719" t="inlineStr">
        <is>
          <t xml:space="preserve">electricity </t>
        </is>
      </c>
      <c r="B4719">
        <f>VLOOKUP(2762,Requirements!A2:B2967,2,FALSE)</f>
        <v/>
      </c>
    </row>
    <row r="4720">
      <c r="A4720" t="inlineStr">
        <is>
          <t xml:space="preserve">electricity </t>
        </is>
      </c>
      <c r="B4720">
        <f>VLOOKUP(2875,Requirements!A2:B2967,2,FALSE)</f>
        <v/>
      </c>
    </row>
    <row r="4721">
      <c r="A4721" t="inlineStr">
        <is>
          <t xml:space="preserve">electricity </t>
        </is>
      </c>
      <c r="B4721">
        <f>VLOOKUP(2931,Requirements!A2:B2967,2,FALSE)</f>
        <v/>
      </c>
    </row>
    <row r="4722">
      <c r="A4722" t="inlineStr">
        <is>
          <t xml:space="preserve">electricity </t>
        </is>
      </c>
      <c r="B4722">
        <f>VLOOKUP(2933,Requirements!A2:B2967,2,FALSE)</f>
        <v/>
      </c>
    </row>
    <row r="4723">
      <c r="A4723" t="inlineStr">
        <is>
          <t xml:space="preserve">electricity </t>
        </is>
      </c>
      <c r="B4723">
        <f>VLOOKUP(2988,Requirements!A2:B2967,2,FALSE)</f>
        <v/>
      </c>
    </row>
    <row r="4724">
      <c r="A4724" t="inlineStr">
        <is>
          <t xml:space="preserve">electricity </t>
        </is>
      </c>
      <c r="B4724">
        <f>VLOOKUP(2989,Requirements!A2:B2967,2,FALSE)</f>
        <v/>
      </c>
    </row>
    <row r="4725">
      <c r="A4725" t="inlineStr">
        <is>
          <t xml:space="preserve">electricity </t>
        </is>
      </c>
      <c r="B4725">
        <f>VLOOKUP(3245,Requirements!A2:B2967,2,FALSE)</f>
        <v/>
      </c>
    </row>
    <row r="4726">
      <c r="A4726" t="inlineStr">
        <is>
          <t xml:space="preserve">electricity </t>
        </is>
      </c>
      <c r="B4726">
        <f>VLOOKUP(3271,Requirements!A2:B2967,2,FALSE)</f>
        <v/>
      </c>
    </row>
    <row r="4727">
      <c r="A4727" t="inlineStr">
        <is>
          <t xml:space="preserve">bill </t>
        </is>
      </c>
      <c r="B4727">
        <f>VLOOKUP(34,Requirements!A2:B2967,2,FALSE)</f>
        <v/>
      </c>
    </row>
    <row r="4728">
      <c r="A4728" t="inlineStr">
        <is>
          <t xml:space="preserve">bill </t>
        </is>
      </c>
      <c r="B4728">
        <f>VLOOKUP(195,Requirements!A2:B2967,2,FALSE)</f>
        <v/>
      </c>
    </row>
    <row r="4729">
      <c r="A4729" t="inlineStr">
        <is>
          <t xml:space="preserve">bill </t>
        </is>
      </c>
      <c r="B4729">
        <f>VLOOKUP(230,Requirements!A2:B2967,2,FALSE)</f>
        <v/>
      </c>
    </row>
    <row r="4730">
      <c r="A4730" t="inlineStr">
        <is>
          <t xml:space="preserve">bill </t>
        </is>
      </c>
      <c r="B4730">
        <f>VLOOKUP(232,Requirements!A2:B2967,2,FALSE)</f>
        <v/>
      </c>
    </row>
    <row r="4731">
      <c r="A4731" t="inlineStr">
        <is>
          <t xml:space="preserve">bill </t>
        </is>
      </c>
      <c r="B4731">
        <f>VLOOKUP(296,Requirements!A2:B2967,2,FALSE)</f>
        <v/>
      </c>
    </row>
    <row r="4732">
      <c r="A4732" t="inlineStr">
        <is>
          <t xml:space="preserve">bill </t>
        </is>
      </c>
      <c r="B4732">
        <f>VLOOKUP(326,Requirements!A2:B2967,2,FALSE)</f>
        <v/>
      </c>
    </row>
    <row r="4733">
      <c r="A4733" t="inlineStr">
        <is>
          <t xml:space="preserve">bill </t>
        </is>
      </c>
      <c r="B4733">
        <f>VLOOKUP(334,Requirements!A2:B2967,2,FALSE)</f>
        <v/>
      </c>
    </row>
    <row r="4734">
      <c r="A4734" t="inlineStr">
        <is>
          <t xml:space="preserve">bill </t>
        </is>
      </c>
      <c r="B4734">
        <f>VLOOKUP(352,Requirements!A2:B2967,2,FALSE)</f>
        <v/>
      </c>
    </row>
    <row r="4735">
      <c r="A4735" t="inlineStr">
        <is>
          <t xml:space="preserve">bill </t>
        </is>
      </c>
      <c r="B4735">
        <f>VLOOKUP(711,Requirements!A2:B2967,2,FALSE)</f>
        <v/>
      </c>
    </row>
    <row r="4736">
      <c r="A4736" t="inlineStr">
        <is>
          <t xml:space="preserve">bill </t>
        </is>
      </c>
      <c r="B4736">
        <f>VLOOKUP(1145,Requirements!A2:B2967,2,FALSE)</f>
        <v/>
      </c>
    </row>
    <row r="4737">
      <c r="A4737" t="inlineStr">
        <is>
          <t xml:space="preserve">bill </t>
        </is>
      </c>
      <c r="B4737">
        <f>VLOOKUP(1757,Requirements!A2:B2967,2,FALSE)</f>
        <v/>
      </c>
    </row>
    <row r="4738">
      <c r="A4738" t="inlineStr">
        <is>
          <t xml:space="preserve">bill </t>
        </is>
      </c>
      <c r="B4738">
        <f>VLOOKUP(1859,Requirements!A2:B2967,2,FALSE)</f>
        <v/>
      </c>
    </row>
    <row r="4739">
      <c r="A4739" t="inlineStr">
        <is>
          <t xml:space="preserve">bill </t>
        </is>
      </c>
      <c r="B4739">
        <f>VLOOKUP(2013,Requirements!A2:B2967,2,FALSE)</f>
        <v/>
      </c>
    </row>
    <row r="4740">
      <c r="A4740" t="inlineStr">
        <is>
          <t xml:space="preserve">bill </t>
        </is>
      </c>
      <c r="B4740">
        <f>VLOOKUP(2503,Requirements!A2:B2967,2,FALSE)</f>
        <v/>
      </c>
    </row>
    <row r="4741">
      <c r="A4741" t="inlineStr">
        <is>
          <t xml:space="preserve">bill </t>
        </is>
      </c>
      <c r="B4741">
        <f>VLOOKUP(2507,Requirements!A2:B2967,2,FALSE)</f>
        <v/>
      </c>
    </row>
    <row r="4742">
      <c r="A4742" t="inlineStr">
        <is>
          <t xml:space="preserve">bill </t>
        </is>
      </c>
      <c r="B4742">
        <f>VLOOKUP(2526,Requirements!A2:B2967,2,FALSE)</f>
        <v/>
      </c>
    </row>
    <row r="4743">
      <c r="A4743" t="inlineStr">
        <is>
          <t xml:space="preserve">bill </t>
        </is>
      </c>
      <c r="B4743">
        <f>VLOOKUP(2527,Requirements!A2:B2967,2,FALSE)</f>
        <v/>
      </c>
    </row>
    <row r="4744">
      <c r="A4744" t="inlineStr">
        <is>
          <t xml:space="preserve">bill </t>
        </is>
      </c>
      <c r="B4744">
        <f>VLOOKUP(2939,Requirements!A2:B2967,2,FALSE)</f>
        <v/>
      </c>
    </row>
    <row r="4745">
      <c r="A4745" t="inlineStr">
        <is>
          <t xml:space="preserve">bill </t>
        </is>
      </c>
      <c r="B4745">
        <f>VLOOKUP(2954,Requirements!A2:B2967,2,FALSE)</f>
        <v/>
      </c>
    </row>
    <row r="4746">
      <c r="A4746" t="inlineStr">
        <is>
          <t xml:space="preserve">auto </t>
        </is>
      </c>
      <c r="B4746">
        <f>VLOOKUP(35,Requirements!A2:B2967,2,FALSE)</f>
        <v/>
      </c>
    </row>
    <row r="4747">
      <c r="A4747" t="inlineStr">
        <is>
          <t xml:space="preserve">auto </t>
        </is>
      </c>
      <c r="B4747">
        <f>VLOOKUP(256,Requirements!A2:B2967,2,FALSE)</f>
        <v/>
      </c>
    </row>
    <row r="4748">
      <c r="A4748" t="inlineStr">
        <is>
          <t xml:space="preserve">auto </t>
        </is>
      </c>
      <c r="B4748">
        <f>VLOOKUP(1141,Requirements!A2:B2967,2,FALSE)</f>
        <v/>
      </c>
    </row>
    <row r="4749">
      <c r="A4749" t="inlineStr">
        <is>
          <t xml:space="preserve">auto </t>
        </is>
      </c>
      <c r="B4749">
        <f>VLOOKUP(1143,Requirements!A2:B2967,2,FALSE)</f>
        <v/>
      </c>
    </row>
    <row r="4750">
      <c r="A4750" t="inlineStr">
        <is>
          <t xml:space="preserve">auto </t>
        </is>
      </c>
      <c r="B4750">
        <f>VLOOKUP(1569,Requirements!A2:B2967,2,FALSE)</f>
        <v/>
      </c>
    </row>
    <row r="4751">
      <c r="A4751" t="inlineStr">
        <is>
          <t xml:space="preserve">auto </t>
        </is>
      </c>
      <c r="B4751">
        <f>VLOOKUP(1851,Requirements!A2:B2967,2,FALSE)</f>
        <v/>
      </c>
    </row>
    <row r="4752">
      <c r="A4752" t="inlineStr">
        <is>
          <t xml:space="preserve">auto </t>
        </is>
      </c>
      <c r="B4752">
        <f>VLOOKUP(1868,Requirements!A2:B2967,2,FALSE)</f>
        <v/>
      </c>
    </row>
    <row r="4753">
      <c r="A4753" t="inlineStr">
        <is>
          <t xml:space="preserve">auto </t>
        </is>
      </c>
      <c r="B4753">
        <f>VLOOKUP(1885,Requirements!A2:B2967,2,FALSE)</f>
        <v/>
      </c>
    </row>
    <row r="4754">
      <c r="A4754" t="inlineStr">
        <is>
          <t xml:space="preserve">auto </t>
        </is>
      </c>
      <c r="B4754">
        <f>VLOOKUP(2404,Requirements!A2:B2967,2,FALSE)</f>
        <v/>
      </c>
    </row>
    <row r="4755">
      <c r="A4755" t="inlineStr">
        <is>
          <t xml:space="preserve">auto </t>
        </is>
      </c>
      <c r="B4755">
        <f>VLOOKUP(2409,Requirements!A2:B2967,2,FALSE)</f>
        <v/>
      </c>
    </row>
    <row r="4756">
      <c r="A4756" t="inlineStr">
        <is>
          <t xml:space="preserve">auto </t>
        </is>
      </c>
      <c r="B4756">
        <f>VLOOKUP(2436,Requirements!A2:B2967,2,FALSE)</f>
        <v/>
      </c>
    </row>
    <row r="4757">
      <c r="A4757" t="inlineStr">
        <is>
          <t xml:space="preserve">auto </t>
        </is>
      </c>
      <c r="B4757">
        <f>VLOOKUP(2470,Requirements!A2:B2967,2,FALSE)</f>
        <v/>
      </c>
    </row>
    <row r="4758">
      <c r="A4758" t="inlineStr">
        <is>
          <t xml:space="preserve">auto </t>
        </is>
      </c>
      <c r="B4758">
        <f>VLOOKUP(2501,Requirements!A2:B2967,2,FALSE)</f>
        <v/>
      </c>
    </row>
    <row r="4759">
      <c r="A4759" t="inlineStr">
        <is>
          <t xml:space="preserve">auto </t>
        </is>
      </c>
      <c r="B4759">
        <f>VLOOKUP(2511,Requirements!A2:B2967,2,FALSE)</f>
        <v/>
      </c>
    </row>
    <row r="4760">
      <c r="A4760" t="inlineStr">
        <is>
          <t xml:space="preserve">auto </t>
        </is>
      </c>
      <c r="B4760">
        <f>VLOOKUP(2711,Requirements!A2:B2967,2,FALSE)</f>
        <v/>
      </c>
    </row>
    <row r="4761">
      <c r="A4761" t="inlineStr">
        <is>
          <t xml:space="preserve">auto </t>
        </is>
      </c>
      <c r="B4761">
        <f>VLOOKUP(3063,Requirements!A2:B2967,2,FALSE)</f>
        <v/>
      </c>
    </row>
    <row r="4762">
      <c r="A4762" t="inlineStr">
        <is>
          <t xml:space="preserve">plant </t>
        </is>
      </c>
      <c r="B4762">
        <f>VLOOKUP(35,Requirements!A2:B2967,2,FALSE)</f>
        <v/>
      </c>
    </row>
    <row r="4763">
      <c r="A4763" t="inlineStr">
        <is>
          <t xml:space="preserve">plant </t>
        </is>
      </c>
      <c r="B4763">
        <f>VLOOKUP(67,Requirements!A2:B2967,2,FALSE)</f>
        <v/>
      </c>
    </row>
    <row r="4764">
      <c r="A4764" t="inlineStr">
        <is>
          <t xml:space="preserve">plant </t>
        </is>
      </c>
      <c r="B4764">
        <f>VLOOKUP(443,Requirements!A2:B2967,2,FALSE)</f>
        <v/>
      </c>
    </row>
    <row r="4765">
      <c r="A4765" t="inlineStr">
        <is>
          <t xml:space="preserve">plant </t>
        </is>
      </c>
      <c r="B4765">
        <f>VLOOKUP(448,Requirements!A2:B2967,2,FALSE)</f>
        <v/>
      </c>
    </row>
    <row r="4766">
      <c r="A4766" t="inlineStr">
        <is>
          <t xml:space="preserve">plant </t>
        </is>
      </c>
      <c r="B4766">
        <f>VLOOKUP(618,Requirements!A2:B2967,2,FALSE)</f>
        <v/>
      </c>
    </row>
    <row r="4767">
      <c r="A4767" t="inlineStr">
        <is>
          <t xml:space="preserve">plant </t>
        </is>
      </c>
      <c r="B4767">
        <f>VLOOKUP(767,Requirements!A2:B2967,2,FALSE)</f>
        <v/>
      </c>
    </row>
    <row r="4768">
      <c r="A4768" t="inlineStr">
        <is>
          <t xml:space="preserve">plant </t>
        </is>
      </c>
      <c r="B4768">
        <f>VLOOKUP(807,Requirements!A2:B2967,2,FALSE)</f>
        <v/>
      </c>
    </row>
    <row r="4769">
      <c r="A4769" t="inlineStr">
        <is>
          <t xml:space="preserve">plant </t>
        </is>
      </c>
      <c r="B4769">
        <f>VLOOKUP(899,Requirements!A2:B2967,2,FALSE)</f>
        <v/>
      </c>
    </row>
    <row r="4770">
      <c r="A4770" t="inlineStr">
        <is>
          <t xml:space="preserve">plant </t>
        </is>
      </c>
      <c r="B4770">
        <f>VLOOKUP(974,Requirements!A2:B2967,2,FALSE)</f>
        <v/>
      </c>
    </row>
    <row r="4771">
      <c r="A4771" t="inlineStr">
        <is>
          <t xml:space="preserve">plant </t>
        </is>
      </c>
      <c r="B4771">
        <f>VLOOKUP(1153,Requirements!A2:B2967,2,FALSE)</f>
        <v/>
      </c>
    </row>
    <row r="4772">
      <c r="A4772" t="inlineStr">
        <is>
          <t xml:space="preserve">plant </t>
        </is>
      </c>
      <c r="B4772">
        <f>VLOOKUP(1164,Requirements!A2:B2967,2,FALSE)</f>
        <v/>
      </c>
    </row>
    <row r="4773">
      <c r="A4773" t="inlineStr">
        <is>
          <t xml:space="preserve">plant </t>
        </is>
      </c>
      <c r="B4773">
        <f>VLOOKUP(1336,Requirements!A2:B2967,2,FALSE)</f>
        <v/>
      </c>
    </row>
    <row r="4774">
      <c r="A4774" t="inlineStr">
        <is>
          <t xml:space="preserve">plant </t>
        </is>
      </c>
      <c r="B4774">
        <f>VLOOKUP(1398,Requirements!A2:B2967,2,FALSE)</f>
        <v/>
      </c>
    </row>
    <row r="4775">
      <c r="A4775" t="inlineStr">
        <is>
          <t xml:space="preserve">plant </t>
        </is>
      </c>
      <c r="B4775">
        <f>VLOOKUP(1410,Requirements!A2:B2967,2,FALSE)</f>
        <v/>
      </c>
    </row>
    <row r="4776">
      <c r="A4776" t="inlineStr">
        <is>
          <t xml:space="preserve">plant </t>
        </is>
      </c>
      <c r="B4776">
        <f>VLOOKUP(1526,Requirements!A2:B2967,2,FALSE)</f>
        <v/>
      </c>
    </row>
    <row r="4777">
      <c r="A4777" t="inlineStr">
        <is>
          <t xml:space="preserve">plant </t>
        </is>
      </c>
      <c r="B4777">
        <f>VLOOKUP(1829,Requirements!A2:B2967,2,FALSE)</f>
        <v/>
      </c>
    </row>
    <row r="4778">
      <c r="A4778" t="inlineStr">
        <is>
          <t xml:space="preserve">plant </t>
        </is>
      </c>
      <c r="B4778">
        <f>VLOOKUP(1848,Requirements!A2:B2967,2,FALSE)</f>
        <v/>
      </c>
    </row>
    <row r="4779">
      <c r="A4779" t="inlineStr">
        <is>
          <t xml:space="preserve">plant </t>
        </is>
      </c>
      <c r="B4779">
        <f>VLOOKUP(1997,Requirements!A2:B2967,2,FALSE)</f>
        <v/>
      </c>
    </row>
    <row r="4780">
      <c r="A4780" t="inlineStr">
        <is>
          <t xml:space="preserve">plant </t>
        </is>
      </c>
      <c r="B4780">
        <f>VLOOKUP(2070,Requirements!A2:B2967,2,FALSE)</f>
        <v/>
      </c>
    </row>
    <row r="4781">
      <c r="A4781" t="inlineStr">
        <is>
          <t xml:space="preserve">plant </t>
        </is>
      </c>
      <c r="B4781">
        <f>VLOOKUP(2082,Requirements!A2:B2967,2,FALSE)</f>
        <v/>
      </c>
    </row>
    <row r="4782">
      <c r="A4782" t="inlineStr">
        <is>
          <t xml:space="preserve">plant </t>
        </is>
      </c>
      <c r="B4782">
        <f>VLOOKUP(2284,Requirements!A2:B2967,2,FALSE)</f>
        <v/>
      </c>
    </row>
    <row r="4783">
      <c r="A4783" t="inlineStr">
        <is>
          <t xml:space="preserve">plant </t>
        </is>
      </c>
      <c r="B4783">
        <f>VLOOKUP(2357,Requirements!A2:B2967,2,FALSE)</f>
        <v/>
      </c>
    </row>
    <row r="4784">
      <c r="A4784" t="inlineStr">
        <is>
          <t xml:space="preserve">plant </t>
        </is>
      </c>
      <c r="B4784">
        <f>VLOOKUP(2390,Requirements!A2:B2967,2,FALSE)</f>
        <v/>
      </c>
    </row>
    <row r="4785">
      <c r="A4785" t="inlineStr">
        <is>
          <t xml:space="preserve">plant </t>
        </is>
      </c>
      <c r="B4785">
        <f>VLOOKUP(2536,Requirements!A2:B2967,2,FALSE)</f>
        <v/>
      </c>
    </row>
    <row r="4786">
      <c r="A4786" t="inlineStr">
        <is>
          <t xml:space="preserve">plant </t>
        </is>
      </c>
      <c r="B4786">
        <f>VLOOKUP(3260,Requirements!A2:B2967,2,FALSE)</f>
        <v/>
      </c>
    </row>
    <row r="4787">
      <c r="A4787" t="inlineStr">
        <is>
          <t xml:space="preserve">home owner </t>
        </is>
      </c>
      <c r="B4787">
        <f>VLOOKUP(37,Requirements!A2:B2967,2,FALSE)</f>
        <v/>
      </c>
    </row>
    <row r="4788">
      <c r="A4788" t="inlineStr">
        <is>
          <t xml:space="preserve">home owner </t>
        </is>
      </c>
      <c r="B4788">
        <f>VLOOKUP(39,Requirements!A2:B2967,2,FALSE)</f>
        <v/>
      </c>
    </row>
    <row r="4789">
      <c r="A4789" t="inlineStr">
        <is>
          <t xml:space="preserve">home owner </t>
        </is>
      </c>
      <c r="B4789">
        <f>VLOOKUP(43,Requirements!A2:B2967,2,FALSE)</f>
        <v/>
      </c>
    </row>
    <row r="4790">
      <c r="A4790" t="inlineStr">
        <is>
          <t xml:space="preserve">home owner </t>
        </is>
      </c>
      <c r="B4790">
        <f>VLOOKUP(50,Requirements!A2:B2967,2,FALSE)</f>
        <v/>
      </c>
    </row>
    <row r="4791">
      <c r="A4791" t="inlineStr">
        <is>
          <t xml:space="preserve">home owner </t>
        </is>
      </c>
      <c r="B4791">
        <f>VLOOKUP(52,Requirements!A2:B2967,2,FALSE)</f>
        <v/>
      </c>
    </row>
    <row r="4792">
      <c r="A4792" t="inlineStr">
        <is>
          <t xml:space="preserve">home owner </t>
        </is>
      </c>
      <c r="B4792">
        <f>VLOOKUP(55,Requirements!A2:B2967,2,FALSE)</f>
        <v/>
      </c>
    </row>
    <row r="4793">
      <c r="A4793" t="inlineStr">
        <is>
          <t xml:space="preserve">home owner </t>
        </is>
      </c>
      <c r="B4793">
        <f>VLOOKUP(72,Requirements!A2:B2967,2,FALSE)</f>
        <v/>
      </c>
    </row>
    <row r="4794">
      <c r="A4794" t="inlineStr">
        <is>
          <t xml:space="preserve">home owner </t>
        </is>
      </c>
      <c r="B4794">
        <f>VLOOKUP(75,Requirements!A2:B2967,2,FALSE)</f>
        <v/>
      </c>
    </row>
    <row r="4795">
      <c r="A4795" t="inlineStr">
        <is>
          <t xml:space="preserve">home owner </t>
        </is>
      </c>
      <c r="B4795">
        <f>VLOOKUP(77,Requirements!A2:B2967,2,FALSE)</f>
        <v/>
      </c>
    </row>
    <row r="4796">
      <c r="A4796" t="inlineStr">
        <is>
          <t xml:space="preserve">home owner </t>
        </is>
      </c>
      <c r="B4796">
        <f>VLOOKUP(80,Requirements!A2:B2967,2,FALSE)</f>
        <v/>
      </c>
    </row>
    <row r="4797">
      <c r="A4797" t="inlineStr">
        <is>
          <t xml:space="preserve">home owner </t>
        </is>
      </c>
      <c r="B4797">
        <f>VLOOKUP(84,Requirements!A2:B2967,2,FALSE)</f>
        <v/>
      </c>
    </row>
    <row r="4798">
      <c r="A4798" t="inlineStr">
        <is>
          <t xml:space="preserve">home owner </t>
        </is>
      </c>
      <c r="B4798">
        <f>VLOOKUP(123,Requirements!A2:B2967,2,FALSE)</f>
        <v/>
      </c>
    </row>
    <row r="4799">
      <c r="A4799" t="inlineStr">
        <is>
          <t xml:space="preserve">home owner </t>
        </is>
      </c>
      <c r="B4799">
        <f>VLOOKUP(185,Requirements!A2:B2967,2,FALSE)</f>
        <v/>
      </c>
    </row>
    <row r="4800">
      <c r="A4800" t="inlineStr">
        <is>
          <t xml:space="preserve">home owner </t>
        </is>
      </c>
      <c r="B4800">
        <f>VLOOKUP(187,Requirements!A2:B2967,2,FALSE)</f>
        <v/>
      </c>
    </row>
    <row r="4801">
      <c r="A4801" t="inlineStr">
        <is>
          <t xml:space="preserve">home owner </t>
        </is>
      </c>
      <c r="B4801">
        <f>VLOOKUP(188,Requirements!A2:B2967,2,FALSE)</f>
        <v/>
      </c>
    </row>
    <row r="4802">
      <c r="A4802" t="inlineStr">
        <is>
          <t xml:space="preserve">home owner </t>
        </is>
      </c>
      <c r="B4802">
        <f>VLOOKUP(193,Requirements!A2:B2967,2,FALSE)</f>
        <v/>
      </c>
    </row>
    <row r="4803">
      <c r="A4803" t="inlineStr">
        <is>
          <t xml:space="preserve">home owner </t>
        </is>
      </c>
      <c r="B4803">
        <f>VLOOKUP(194,Requirements!A2:B2967,2,FALSE)</f>
        <v/>
      </c>
    </row>
    <row r="4804">
      <c r="A4804" t="inlineStr">
        <is>
          <t xml:space="preserve">home owner </t>
        </is>
      </c>
      <c r="B4804">
        <f>VLOOKUP(195,Requirements!A2:B2967,2,FALSE)</f>
        <v/>
      </c>
    </row>
    <row r="4805">
      <c r="A4805" t="inlineStr">
        <is>
          <t xml:space="preserve">home owner </t>
        </is>
      </c>
      <c r="B4805">
        <f>VLOOKUP(196,Requirements!A2:B2967,2,FALSE)</f>
        <v/>
      </c>
    </row>
    <row r="4806">
      <c r="A4806" t="inlineStr">
        <is>
          <t xml:space="preserve">home owner </t>
        </is>
      </c>
      <c r="B4806">
        <f>VLOOKUP(197,Requirements!A2:B2967,2,FALSE)</f>
        <v/>
      </c>
    </row>
    <row r="4807">
      <c r="A4807" t="inlineStr">
        <is>
          <t xml:space="preserve">home owner </t>
        </is>
      </c>
      <c r="B4807">
        <f>VLOOKUP(199,Requirements!A2:B2967,2,FALSE)</f>
        <v/>
      </c>
    </row>
    <row r="4808">
      <c r="A4808" t="inlineStr">
        <is>
          <t xml:space="preserve">home owner </t>
        </is>
      </c>
      <c r="B4808">
        <f>VLOOKUP(207,Requirements!A2:B2967,2,FALSE)</f>
        <v/>
      </c>
    </row>
    <row r="4809">
      <c r="A4809" t="inlineStr">
        <is>
          <t xml:space="preserve">home owner </t>
        </is>
      </c>
      <c r="B4809">
        <f>VLOOKUP(218,Requirements!A2:B2967,2,FALSE)</f>
        <v/>
      </c>
    </row>
    <row r="4810">
      <c r="A4810" t="inlineStr">
        <is>
          <t xml:space="preserve">home owner </t>
        </is>
      </c>
      <c r="B4810">
        <f>VLOOKUP(226,Requirements!A2:B2967,2,FALSE)</f>
        <v/>
      </c>
    </row>
    <row r="4811">
      <c r="A4811" t="inlineStr">
        <is>
          <t xml:space="preserve">home owner </t>
        </is>
      </c>
      <c r="B4811">
        <f>VLOOKUP(235,Requirements!A2:B2967,2,FALSE)</f>
        <v/>
      </c>
    </row>
    <row r="4812">
      <c r="A4812" t="inlineStr">
        <is>
          <t xml:space="preserve">home owner </t>
        </is>
      </c>
      <c r="B4812">
        <f>VLOOKUP(238,Requirements!A2:B2967,2,FALSE)</f>
        <v/>
      </c>
    </row>
    <row r="4813">
      <c r="A4813" t="inlineStr">
        <is>
          <t xml:space="preserve">home owner </t>
        </is>
      </c>
      <c r="B4813">
        <f>VLOOKUP(291,Requirements!A2:B2967,2,FALSE)</f>
        <v/>
      </c>
    </row>
    <row r="4814">
      <c r="A4814" t="inlineStr">
        <is>
          <t xml:space="preserve">home owner </t>
        </is>
      </c>
      <c r="B4814">
        <f>VLOOKUP(294,Requirements!A2:B2967,2,FALSE)</f>
        <v/>
      </c>
    </row>
    <row r="4815">
      <c r="A4815" t="inlineStr">
        <is>
          <t xml:space="preserve">home owner </t>
        </is>
      </c>
      <c r="B4815">
        <f>VLOOKUP(295,Requirements!A2:B2967,2,FALSE)</f>
        <v/>
      </c>
    </row>
    <row r="4816">
      <c r="A4816" t="inlineStr">
        <is>
          <t xml:space="preserve">home owner </t>
        </is>
      </c>
      <c r="B4816">
        <f>VLOOKUP(296,Requirements!A2:B2967,2,FALSE)</f>
        <v/>
      </c>
    </row>
    <row r="4817">
      <c r="A4817" t="inlineStr">
        <is>
          <t xml:space="preserve">home owner </t>
        </is>
      </c>
      <c r="B4817">
        <f>VLOOKUP(297,Requirements!A2:B2967,2,FALSE)</f>
        <v/>
      </c>
    </row>
    <row r="4818">
      <c r="A4818" t="inlineStr">
        <is>
          <t xml:space="preserve">home owner </t>
        </is>
      </c>
      <c r="B4818">
        <f>VLOOKUP(298,Requirements!A2:B2967,2,FALSE)</f>
        <v/>
      </c>
    </row>
    <row r="4819">
      <c r="A4819" t="inlineStr">
        <is>
          <t xml:space="preserve">home owner </t>
        </is>
      </c>
      <c r="B4819">
        <f>VLOOKUP(299,Requirements!A2:B2967,2,FALSE)</f>
        <v/>
      </c>
    </row>
    <row r="4820">
      <c r="A4820" t="inlineStr">
        <is>
          <t xml:space="preserve">home owner </t>
        </is>
      </c>
      <c r="B4820">
        <f>VLOOKUP(343,Requirements!A2:B2967,2,FALSE)</f>
        <v/>
      </c>
    </row>
    <row r="4821">
      <c r="A4821" t="inlineStr">
        <is>
          <t xml:space="preserve">home owner </t>
        </is>
      </c>
      <c r="B4821">
        <f>VLOOKUP(351,Requirements!A2:B2967,2,FALSE)</f>
        <v/>
      </c>
    </row>
    <row r="4822">
      <c r="A4822" t="inlineStr">
        <is>
          <t xml:space="preserve">home owner </t>
        </is>
      </c>
      <c r="B4822">
        <f>VLOOKUP(354,Requirements!A2:B2967,2,FALSE)</f>
        <v/>
      </c>
    </row>
    <row r="4823">
      <c r="A4823" t="inlineStr">
        <is>
          <t xml:space="preserve">home owner </t>
        </is>
      </c>
      <c r="B4823">
        <f>VLOOKUP(359,Requirements!A2:B2967,2,FALSE)</f>
        <v/>
      </c>
    </row>
    <row r="4824">
      <c r="A4824" t="inlineStr">
        <is>
          <t xml:space="preserve">home owner </t>
        </is>
      </c>
      <c r="B4824">
        <f>VLOOKUP(361,Requirements!A2:B2967,2,FALSE)</f>
        <v/>
      </c>
    </row>
    <row r="4825">
      <c r="A4825" t="inlineStr">
        <is>
          <t xml:space="preserve">home owner </t>
        </is>
      </c>
      <c r="B4825">
        <f>VLOOKUP(365,Requirements!A2:B2967,2,FALSE)</f>
        <v/>
      </c>
    </row>
    <row r="4826">
      <c r="A4826" t="inlineStr">
        <is>
          <t xml:space="preserve">home owner </t>
        </is>
      </c>
      <c r="B4826">
        <f>VLOOKUP(369,Requirements!A2:B2967,2,FALSE)</f>
        <v/>
      </c>
    </row>
    <row r="4827">
      <c r="A4827" t="inlineStr">
        <is>
          <t xml:space="preserve">home owner </t>
        </is>
      </c>
      <c r="B4827">
        <f>VLOOKUP(373,Requirements!A2:B2967,2,FALSE)</f>
        <v/>
      </c>
    </row>
    <row r="4828">
      <c r="A4828" t="inlineStr">
        <is>
          <t xml:space="preserve">home owner </t>
        </is>
      </c>
      <c r="B4828">
        <f>VLOOKUP(383,Requirements!A2:B2967,2,FALSE)</f>
        <v/>
      </c>
    </row>
    <row r="4829">
      <c r="A4829" t="inlineStr">
        <is>
          <t xml:space="preserve">home owner </t>
        </is>
      </c>
      <c r="B4829">
        <f>VLOOKUP(384,Requirements!A2:B2967,2,FALSE)</f>
        <v/>
      </c>
    </row>
    <row r="4830">
      <c r="A4830" t="inlineStr">
        <is>
          <t xml:space="preserve">home owner </t>
        </is>
      </c>
      <c r="B4830">
        <f>VLOOKUP(390,Requirements!A2:B2967,2,FALSE)</f>
        <v/>
      </c>
    </row>
    <row r="4831">
      <c r="A4831" t="inlineStr">
        <is>
          <t xml:space="preserve">home owner </t>
        </is>
      </c>
      <c r="B4831">
        <f>VLOOKUP(404,Requirements!A2:B2967,2,FALSE)</f>
        <v/>
      </c>
    </row>
    <row r="4832">
      <c r="A4832" t="inlineStr">
        <is>
          <t xml:space="preserve">home owner </t>
        </is>
      </c>
      <c r="B4832">
        <f>VLOOKUP(405,Requirements!A2:B2967,2,FALSE)</f>
        <v/>
      </c>
    </row>
    <row r="4833">
      <c r="A4833" t="inlineStr">
        <is>
          <t xml:space="preserve">home owner </t>
        </is>
      </c>
      <c r="B4833">
        <f>VLOOKUP(407,Requirements!A2:B2967,2,FALSE)</f>
        <v/>
      </c>
    </row>
    <row r="4834">
      <c r="A4834" t="inlineStr">
        <is>
          <t xml:space="preserve">home owner </t>
        </is>
      </c>
      <c r="B4834">
        <f>VLOOKUP(410,Requirements!A2:B2967,2,FALSE)</f>
        <v/>
      </c>
    </row>
    <row r="4835">
      <c r="A4835" t="inlineStr">
        <is>
          <t xml:space="preserve">home owner </t>
        </is>
      </c>
      <c r="B4835">
        <f>VLOOKUP(414,Requirements!A2:B2967,2,FALSE)</f>
        <v/>
      </c>
    </row>
    <row r="4836">
      <c r="A4836" t="inlineStr">
        <is>
          <t xml:space="preserve">home owner </t>
        </is>
      </c>
      <c r="B4836">
        <f>VLOOKUP(418,Requirements!A2:B2967,2,FALSE)</f>
        <v/>
      </c>
    </row>
    <row r="4837">
      <c r="A4837" t="inlineStr">
        <is>
          <t xml:space="preserve">home owner </t>
        </is>
      </c>
      <c r="B4837">
        <f>VLOOKUP(419,Requirements!A2:B2967,2,FALSE)</f>
        <v/>
      </c>
    </row>
    <row r="4838">
      <c r="A4838" t="inlineStr">
        <is>
          <t xml:space="preserve">home owner </t>
        </is>
      </c>
      <c r="B4838">
        <f>VLOOKUP(420,Requirements!A2:B2967,2,FALSE)</f>
        <v/>
      </c>
    </row>
    <row r="4839">
      <c r="A4839" t="inlineStr">
        <is>
          <t xml:space="preserve">home owner </t>
        </is>
      </c>
      <c r="B4839">
        <f>VLOOKUP(423,Requirements!A2:B2967,2,FALSE)</f>
        <v/>
      </c>
    </row>
    <row r="4840">
      <c r="A4840" t="inlineStr">
        <is>
          <t xml:space="preserve">home owner </t>
        </is>
      </c>
      <c r="B4840">
        <f>VLOOKUP(425,Requirements!A2:B2967,2,FALSE)</f>
        <v/>
      </c>
    </row>
    <row r="4841">
      <c r="A4841" t="inlineStr">
        <is>
          <t xml:space="preserve">home owner </t>
        </is>
      </c>
      <c r="B4841">
        <f>VLOOKUP(429,Requirements!A2:B2967,2,FALSE)</f>
        <v/>
      </c>
    </row>
    <row r="4842">
      <c r="A4842" t="inlineStr">
        <is>
          <t xml:space="preserve">home owner </t>
        </is>
      </c>
      <c r="B4842">
        <f>VLOOKUP(430,Requirements!A2:B2967,2,FALSE)</f>
        <v/>
      </c>
    </row>
    <row r="4843">
      <c r="A4843" t="inlineStr">
        <is>
          <t xml:space="preserve">home owner </t>
        </is>
      </c>
      <c r="B4843">
        <f>VLOOKUP(440,Requirements!A2:B2967,2,FALSE)</f>
        <v/>
      </c>
    </row>
    <row r="4844">
      <c r="A4844" t="inlineStr">
        <is>
          <t xml:space="preserve">home owner </t>
        </is>
      </c>
      <c r="B4844">
        <f>VLOOKUP(447,Requirements!A2:B2967,2,FALSE)</f>
        <v/>
      </c>
    </row>
    <row r="4845">
      <c r="A4845" t="inlineStr">
        <is>
          <t xml:space="preserve">home owner </t>
        </is>
      </c>
      <c r="B4845">
        <f>VLOOKUP(450,Requirements!A2:B2967,2,FALSE)</f>
        <v/>
      </c>
    </row>
    <row r="4846">
      <c r="A4846" t="inlineStr">
        <is>
          <t xml:space="preserve">home owner </t>
        </is>
      </c>
      <c r="B4846">
        <f>VLOOKUP(452,Requirements!A2:B2967,2,FALSE)</f>
        <v/>
      </c>
    </row>
    <row r="4847">
      <c r="A4847" t="inlineStr">
        <is>
          <t xml:space="preserve">home owner </t>
        </is>
      </c>
      <c r="B4847">
        <f>VLOOKUP(453,Requirements!A2:B2967,2,FALSE)</f>
        <v/>
      </c>
    </row>
    <row r="4848">
      <c r="A4848" t="inlineStr">
        <is>
          <t xml:space="preserve">home owner </t>
        </is>
      </c>
      <c r="B4848">
        <f>VLOOKUP(456,Requirements!A2:B2967,2,FALSE)</f>
        <v/>
      </c>
    </row>
    <row r="4849">
      <c r="A4849" t="inlineStr">
        <is>
          <t xml:space="preserve">home owner </t>
        </is>
      </c>
      <c r="B4849">
        <f>VLOOKUP(457,Requirements!A2:B2967,2,FALSE)</f>
        <v/>
      </c>
    </row>
    <row r="4850">
      <c r="A4850" t="inlineStr">
        <is>
          <t xml:space="preserve">home owner </t>
        </is>
      </c>
      <c r="B4850">
        <f>VLOOKUP(473,Requirements!A2:B2967,2,FALSE)</f>
        <v/>
      </c>
    </row>
    <row r="4851">
      <c r="A4851" t="inlineStr">
        <is>
          <t xml:space="preserve">home owner </t>
        </is>
      </c>
      <c r="B4851">
        <f>VLOOKUP(474,Requirements!A2:B2967,2,FALSE)</f>
        <v/>
      </c>
    </row>
    <row r="4852">
      <c r="A4852" t="inlineStr">
        <is>
          <t xml:space="preserve">home owner </t>
        </is>
      </c>
      <c r="B4852">
        <f>VLOOKUP(476,Requirements!A2:B2967,2,FALSE)</f>
        <v/>
      </c>
    </row>
    <row r="4853">
      <c r="A4853" t="inlineStr">
        <is>
          <t xml:space="preserve">home owner </t>
        </is>
      </c>
      <c r="B4853">
        <f>VLOOKUP(478,Requirements!A2:B2967,2,FALSE)</f>
        <v/>
      </c>
    </row>
    <row r="4854">
      <c r="A4854" t="inlineStr">
        <is>
          <t xml:space="preserve">home owner </t>
        </is>
      </c>
      <c r="B4854">
        <f>VLOOKUP(490,Requirements!A2:B2967,2,FALSE)</f>
        <v/>
      </c>
    </row>
    <row r="4855">
      <c r="A4855" t="inlineStr">
        <is>
          <t xml:space="preserve">home owner </t>
        </is>
      </c>
      <c r="B4855">
        <f>VLOOKUP(494,Requirements!A2:B2967,2,FALSE)</f>
        <v/>
      </c>
    </row>
    <row r="4856">
      <c r="A4856" t="inlineStr">
        <is>
          <t xml:space="preserve">home owner </t>
        </is>
      </c>
      <c r="B4856">
        <f>VLOOKUP(498,Requirements!A2:B2967,2,FALSE)</f>
        <v/>
      </c>
    </row>
    <row r="4857">
      <c r="A4857" t="inlineStr">
        <is>
          <t xml:space="preserve">home owner </t>
        </is>
      </c>
      <c r="B4857">
        <f>VLOOKUP(500,Requirements!A2:B2967,2,FALSE)</f>
        <v/>
      </c>
    </row>
    <row r="4858">
      <c r="A4858" t="inlineStr">
        <is>
          <t xml:space="preserve">home owner </t>
        </is>
      </c>
      <c r="B4858">
        <f>VLOOKUP(503,Requirements!A2:B2967,2,FALSE)</f>
        <v/>
      </c>
    </row>
    <row r="4859">
      <c r="A4859" t="inlineStr">
        <is>
          <t xml:space="preserve">home owner </t>
        </is>
      </c>
      <c r="B4859">
        <f>VLOOKUP(505,Requirements!A2:B2967,2,FALSE)</f>
        <v/>
      </c>
    </row>
    <row r="4860">
      <c r="A4860" t="inlineStr">
        <is>
          <t xml:space="preserve">home owner </t>
        </is>
      </c>
      <c r="B4860">
        <f>VLOOKUP(510,Requirements!A2:B2967,2,FALSE)</f>
        <v/>
      </c>
    </row>
    <row r="4861">
      <c r="A4861" t="inlineStr">
        <is>
          <t xml:space="preserve">home owner </t>
        </is>
      </c>
      <c r="B4861">
        <f>VLOOKUP(515,Requirements!A2:B2967,2,FALSE)</f>
        <v/>
      </c>
    </row>
    <row r="4862">
      <c r="A4862" t="inlineStr">
        <is>
          <t xml:space="preserve">home owner </t>
        </is>
      </c>
      <c r="B4862">
        <f>VLOOKUP(517,Requirements!A2:B2967,2,FALSE)</f>
        <v/>
      </c>
    </row>
    <row r="4863">
      <c r="A4863" t="inlineStr">
        <is>
          <t xml:space="preserve">home owner </t>
        </is>
      </c>
      <c r="B4863">
        <f>VLOOKUP(521,Requirements!A2:B2967,2,FALSE)</f>
        <v/>
      </c>
    </row>
    <row r="4864">
      <c r="A4864" t="inlineStr">
        <is>
          <t xml:space="preserve">home owner </t>
        </is>
      </c>
      <c r="B4864">
        <f>VLOOKUP(524,Requirements!A2:B2967,2,FALSE)</f>
        <v/>
      </c>
    </row>
    <row r="4865">
      <c r="A4865" t="inlineStr">
        <is>
          <t xml:space="preserve">home owner </t>
        </is>
      </c>
      <c r="B4865">
        <f>VLOOKUP(535,Requirements!A2:B2967,2,FALSE)</f>
        <v/>
      </c>
    </row>
    <row r="4866">
      <c r="A4866" t="inlineStr">
        <is>
          <t xml:space="preserve">home owner </t>
        </is>
      </c>
      <c r="B4866">
        <f>VLOOKUP(605,Requirements!A2:B2967,2,FALSE)</f>
        <v/>
      </c>
    </row>
    <row r="4867">
      <c r="A4867" t="inlineStr">
        <is>
          <t xml:space="preserve">home owner </t>
        </is>
      </c>
      <c r="B4867">
        <f>VLOOKUP(613,Requirements!A2:B2967,2,FALSE)</f>
        <v/>
      </c>
    </row>
    <row r="4868">
      <c r="A4868" t="inlineStr">
        <is>
          <t xml:space="preserve">home owner </t>
        </is>
      </c>
      <c r="B4868">
        <f>VLOOKUP(617,Requirements!A2:B2967,2,FALSE)</f>
        <v/>
      </c>
    </row>
    <row r="4869">
      <c r="A4869" t="inlineStr">
        <is>
          <t xml:space="preserve">home owner </t>
        </is>
      </c>
      <c r="B4869">
        <f>VLOOKUP(618,Requirements!A2:B2967,2,FALSE)</f>
        <v/>
      </c>
    </row>
    <row r="4870">
      <c r="A4870" t="inlineStr">
        <is>
          <t xml:space="preserve">home owner </t>
        </is>
      </c>
      <c r="B4870">
        <f>VLOOKUP(621,Requirements!A2:B2967,2,FALSE)</f>
        <v/>
      </c>
    </row>
    <row r="4871">
      <c r="A4871" t="inlineStr">
        <is>
          <t xml:space="preserve">home owner </t>
        </is>
      </c>
      <c r="B4871">
        <f>VLOOKUP(625,Requirements!A2:B2967,2,FALSE)</f>
        <v/>
      </c>
    </row>
    <row r="4872">
      <c r="A4872" t="inlineStr">
        <is>
          <t xml:space="preserve">home owner </t>
        </is>
      </c>
      <c r="B4872">
        <f>VLOOKUP(638,Requirements!A2:B2967,2,FALSE)</f>
        <v/>
      </c>
    </row>
    <row r="4873">
      <c r="A4873" t="inlineStr">
        <is>
          <t xml:space="preserve">home owner </t>
        </is>
      </c>
      <c r="B4873">
        <f>VLOOKUP(639,Requirements!A2:B2967,2,FALSE)</f>
        <v/>
      </c>
    </row>
    <row r="4874">
      <c r="A4874" t="inlineStr">
        <is>
          <t xml:space="preserve">home owner </t>
        </is>
      </c>
      <c r="B4874">
        <f>VLOOKUP(641,Requirements!A2:B2967,2,FALSE)</f>
        <v/>
      </c>
    </row>
    <row r="4875">
      <c r="A4875" t="inlineStr">
        <is>
          <t xml:space="preserve">home owner </t>
        </is>
      </c>
      <c r="B4875">
        <f>VLOOKUP(642,Requirements!A2:B2967,2,FALSE)</f>
        <v/>
      </c>
    </row>
    <row r="4876">
      <c r="A4876" t="inlineStr">
        <is>
          <t xml:space="preserve">home owner </t>
        </is>
      </c>
      <c r="B4876">
        <f>VLOOKUP(647,Requirements!A2:B2967,2,FALSE)</f>
        <v/>
      </c>
    </row>
    <row r="4877">
      <c r="A4877" t="inlineStr">
        <is>
          <t xml:space="preserve">home owner </t>
        </is>
      </c>
      <c r="B4877">
        <f>VLOOKUP(655,Requirements!A2:B2967,2,FALSE)</f>
        <v/>
      </c>
    </row>
    <row r="4878">
      <c r="A4878" t="inlineStr">
        <is>
          <t xml:space="preserve">home owner </t>
        </is>
      </c>
      <c r="B4878">
        <f>VLOOKUP(659,Requirements!A2:B2967,2,FALSE)</f>
        <v/>
      </c>
    </row>
    <row r="4879">
      <c r="A4879" t="inlineStr">
        <is>
          <t xml:space="preserve">home owner </t>
        </is>
      </c>
      <c r="B4879">
        <f>VLOOKUP(667,Requirements!A2:B2967,2,FALSE)</f>
        <v/>
      </c>
    </row>
    <row r="4880">
      <c r="A4880" t="inlineStr">
        <is>
          <t xml:space="preserve">home owner </t>
        </is>
      </c>
      <c r="B4880">
        <f>VLOOKUP(670,Requirements!A2:B2967,2,FALSE)</f>
        <v/>
      </c>
    </row>
    <row r="4881">
      <c r="A4881" t="inlineStr">
        <is>
          <t xml:space="preserve">home owner </t>
        </is>
      </c>
      <c r="B4881">
        <f>VLOOKUP(671,Requirements!A2:B2967,2,FALSE)</f>
        <v/>
      </c>
    </row>
    <row r="4882">
      <c r="A4882" t="inlineStr">
        <is>
          <t xml:space="preserve">home owner </t>
        </is>
      </c>
      <c r="B4882">
        <f>VLOOKUP(673,Requirements!A2:B2967,2,FALSE)</f>
        <v/>
      </c>
    </row>
    <row r="4883">
      <c r="A4883" t="inlineStr">
        <is>
          <t xml:space="preserve">home owner </t>
        </is>
      </c>
      <c r="B4883">
        <f>VLOOKUP(675,Requirements!A2:B2967,2,FALSE)</f>
        <v/>
      </c>
    </row>
    <row r="4884">
      <c r="A4884" t="inlineStr">
        <is>
          <t xml:space="preserve">home owner </t>
        </is>
      </c>
      <c r="B4884">
        <f>VLOOKUP(678,Requirements!A2:B2967,2,FALSE)</f>
        <v/>
      </c>
    </row>
    <row r="4885">
      <c r="A4885" t="inlineStr">
        <is>
          <t xml:space="preserve">home owner </t>
        </is>
      </c>
      <c r="B4885">
        <f>VLOOKUP(680,Requirements!A2:B2967,2,FALSE)</f>
        <v/>
      </c>
    </row>
    <row r="4886">
      <c r="A4886" t="inlineStr">
        <is>
          <t xml:space="preserve">home owner </t>
        </is>
      </c>
      <c r="B4886">
        <f>VLOOKUP(683,Requirements!A2:B2967,2,FALSE)</f>
        <v/>
      </c>
    </row>
    <row r="4887">
      <c r="A4887" t="inlineStr">
        <is>
          <t xml:space="preserve">home owner </t>
        </is>
      </c>
      <c r="B4887">
        <f>VLOOKUP(686,Requirements!A2:B2967,2,FALSE)</f>
        <v/>
      </c>
    </row>
    <row r="4888">
      <c r="A4888" t="inlineStr">
        <is>
          <t xml:space="preserve">home owner </t>
        </is>
      </c>
      <c r="B4888">
        <f>VLOOKUP(691,Requirements!A2:B2967,2,FALSE)</f>
        <v/>
      </c>
    </row>
    <row r="4889">
      <c r="A4889" t="inlineStr">
        <is>
          <t xml:space="preserve">home owner </t>
        </is>
      </c>
      <c r="B4889">
        <f>VLOOKUP(692,Requirements!A2:B2967,2,FALSE)</f>
        <v/>
      </c>
    </row>
    <row r="4890">
      <c r="A4890" t="inlineStr">
        <is>
          <t xml:space="preserve">home owner </t>
        </is>
      </c>
      <c r="B4890">
        <f>VLOOKUP(694,Requirements!A2:B2967,2,FALSE)</f>
        <v/>
      </c>
    </row>
    <row r="4891">
      <c r="A4891" t="inlineStr">
        <is>
          <t xml:space="preserve">home owner </t>
        </is>
      </c>
      <c r="B4891">
        <f>VLOOKUP(695,Requirements!A2:B2967,2,FALSE)</f>
        <v/>
      </c>
    </row>
    <row r="4892">
      <c r="A4892" t="inlineStr">
        <is>
          <t xml:space="preserve">home owner </t>
        </is>
      </c>
      <c r="B4892">
        <f>VLOOKUP(699,Requirements!A2:B2967,2,FALSE)</f>
        <v/>
      </c>
    </row>
    <row r="4893">
      <c r="A4893" t="inlineStr">
        <is>
          <t xml:space="preserve">home owner </t>
        </is>
      </c>
      <c r="B4893">
        <f>VLOOKUP(700,Requirements!A2:B2967,2,FALSE)</f>
        <v/>
      </c>
    </row>
    <row r="4894">
      <c r="A4894" t="inlineStr">
        <is>
          <t xml:space="preserve">home owner </t>
        </is>
      </c>
      <c r="B4894">
        <f>VLOOKUP(701,Requirements!A2:B2967,2,FALSE)</f>
        <v/>
      </c>
    </row>
    <row r="4895">
      <c r="A4895" t="inlineStr">
        <is>
          <t xml:space="preserve">home owner </t>
        </is>
      </c>
      <c r="B4895">
        <f>VLOOKUP(702,Requirements!A2:B2967,2,FALSE)</f>
        <v/>
      </c>
    </row>
    <row r="4896">
      <c r="A4896" t="inlineStr">
        <is>
          <t xml:space="preserve">home owner </t>
        </is>
      </c>
      <c r="B4896">
        <f>VLOOKUP(703,Requirements!A2:B2967,2,FALSE)</f>
        <v/>
      </c>
    </row>
    <row r="4897">
      <c r="A4897" t="inlineStr">
        <is>
          <t xml:space="preserve">home owner </t>
        </is>
      </c>
      <c r="B4897">
        <f>VLOOKUP(705,Requirements!A2:B2967,2,FALSE)</f>
        <v/>
      </c>
    </row>
    <row r="4898">
      <c r="A4898" t="inlineStr">
        <is>
          <t xml:space="preserve">home owner </t>
        </is>
      </c>
      <c r="B4898">
        <f>VLOOKUP(710,Requirements!A2:B2967,2,FALSE)</f>
        <v/>
      </c>
    </row>
    <row r="4899">
      <c r="A4899" t="inlineStr">
        <is>
          <t xml:space="preserve">home owner </t>
        </is>
      </c>
      <c r="B4899">
        <f>VLOOKUP(711,Requirements!A2:B2967,2,FALSE)</f>
        <v/>
      </c>
    </row>
    <row r="4900">
      <c r="A4900" t="inlineStr">
        <is>
          <t xml:space="preserve">home owner </t>
        </is>
      </c>
      <c r="B4900">
        <f>VLOOKUP(713,Requirements!A2:B2967,2,FALSE)</f>
        <v/>
      </c>
    </row>
    <row r="4901">
      <c r="A4901" t="inlineStr">
        <is>
          <t xml:space="preserve">home owner </t>
        </is>
      </c>
      <c r="B4901">
        <f>VLOOKUP(714,Requirements!A2:B2967,2,FALSE)</f>
        <v/>
      </c>
    </row>
    <row r="4902">
      <c r="A4902" t="inlineStr">
        <is>
          <t xml:space="preserve">home owner </t>
        </is>
      </c>
      <c r="B4902">
        <f>VLOOKUP(717,Requirements!A2:B2967,2,FALSE)</f>
        <v/>
      </c>
    </row>
    <row r="4903">
      <c r="A4903" t="inlineStr">
        <is>
          <t xml:space="preserve">home owner </t>
        </is>
      </c>
      <c r="B4903">
        <f>VLOOKUP(718,Requirements!A2:B2967,2,FALSE)</f>
        <v/>
      </c>
    </row>
    <row r="4904">
      <c r="A4904" t="inlineStr">
        <is>
          <t xml:space="preserve">home owner </t>
        </is>
      </c>
      <c r="B4904">
        <f>VLOOKUP(719,Requirements!A2:B2967,2,FALSE)</f>
        <v/>
      </c>
    </row>
    <row r="4905">
      <c r="A4905" t="inlineStr">
        <is>
          <t xml:space="preserve">home owner </t>
        </is>
      </c>
      <c r="B4905">
        <f>VLOOKUP(721,Requirements!A2:B2967,2,FALSE)</f>
        <v/>
      </c>
    </row>
    <row r="4906">
      <c r="A4906" t="inlineStr">
        <is>
          <t xml:space="preserve">home owner </t>
        </is>
      </c>
      <c r="B4906">
        <f>VLOOKUP(725,Requirements!A2:B2967,2,FALSE)</f>
        <v/>
      </c>
    </row>
    <row r="4907">
      <c r="A4907" t="inlineStr">
        <is>
          <t xml:space="preserve">home owner </t>
        </is>
      </c>
      <c r="B4907">
        <f>VLOOKUP(729,Requirements!A2:B2967,2,FALSE)</f>
        <v/>
      </c>
    </row>
    <row r="4908">
      <c r="A4908" t="inlineStr">
        <is>
          <t xml:space="preserve">home owner </t>
        </is>
      </c>
      <c r="B4908">
        <f>VLOOKUP(730,Requirements!A2:B2967,2,FALSE)</f>
        <v/>
      </c>
    </row>
    <row r="4909">
      <c r="A4909" t="inlineStr">
        <is>
          <t xml:space="preserve">home owner </t>
        </is>
      </c>
      <c r="B4909">
        <f>VLOOKUP(732,Requirements!A2:B2967,2,FALSE)</f>
        <v/>
      </c>
    </row>
    <row r="4910">
      <c r="A4910" t="inlineStr">
        <is>
          <t xml:space="preserve">home owner </t>
        </is>
      </c>
      <c r="B4910">
        <f>VLOOKUP(733,Requirements!A2:B2967,2,FALSE)</f>
        <v/>
      </c>
    </row>
    <row r="4911">
      <c r="A4911" t="inlineStr">
        <is>
          <t xml:space="preserve">home owner </t>
        </is>
      </c>
      <c r="B4911">
        <f>VLOOKUP(734,Requirements!A2:B2967,2,FALSE)</f>
        <v/>
      </c>
    </row>
    <row r="4912">
      <c r="A4912" t="inlineStr">
        <is>
          <t xml:space="preserve">home owner </t>
        </is>
      </c>
      <c r="B4912">
        <f>VLOOKUP(736,Requirements!A2:B2967,2,FALSE)</f>
        <v/>
      </c>
    </row>
    <row r="4913">
      <c r="A4913" t="inlineStr">
        <is>
          <t xml:space="preserve">home owner </t>
        </is>
      </c>
      <c r="B4913">
        <f>VLOOKUP(740,Requirements!A2:B2967,2,FALSE)</f>
        <v/>
      </c>
    </row>
    <row r="4914">
      <c r="A4914" t="inlineStr">
        <is>
          <t xml:space="preserve">home owner </t>
        </is>
      </c>
      <c r="B4914">
        <f>VLOOKUP(742,Requirements!A2:B2967,2,FALSE)</f>
        <v/>
      </c>
    </row>
    <row r="4915">
      <c r="A4915" t="inlineStr">
        <is>
          <t xml:space="preserve">home owner </t>
        </is>
      </c>
      <c r="B4915">
        <f>VLOOKUP(754,Requirements!A2:B2967,2,FALSE)</f>
        <v/>
      </c>
    </row>
    <row r="4916">
      <c r="A4916" t="inlineStr">
        <is>
          <t xml:space="preserve">home owner </t>
        </is>
      </c>
      <c r="B4916">
        <f>VLOOKUP(761,Requirements!A2:B2967,2,FALSE)</f>
        <v/>
      </c>
    </row>
    <row r="4917">
      <c r="A4917" t="inlineStr">
        <is>
          <t xml:space="preserve">home owner </t>
        </is>
      </c>
      <c r="B4917">
        <f>VLOOKUP(779,Requirements!A2:B2967,2,FALSE)</f>
        <v/>
      </c>
    </row>
    <row r="4918">
      <c r="A4918" t="inlineStr">
        <is>
          <t xml:space="preserve">home owner </t>
        </is>
      </c>
      <c r="B4918">
        <f>VLOOKUP(784,Requirements!A2:B2967,2,FALSE)</f>
        <v/>
      </c>
    </row>
    <row r="4919">
      <c r="A4919" t="inlineStr">
        <is>
          <t xml:space="preserve">home owner </t>
        </is>
      </c>
      <c r="B4919">
        <f>VLOOKUP(787,Requirements!A2:B2967,2,FALSE)</f>
        <v/>
      </c>
    </row>
    <row r="4920">
      <c r="A4920" t="inlineStr">
        <is>
          <t xml:space="preserve">home owner </t>
        </is>
      </c>
      <c r="B4920">
        <f>VLOOKUP(789,Requirements!A2:B2967,2,FALSE)</f>
        <v/>
      </c>
    </row>
    <row r="4921">
      <c r="A4921" t="inlineStr">
        <is>
          <t xml:space="preserve">home owner </t>
        </is>
      </c>
      <c r="B4921">
        <f>VLOOKUP(791,Requirements!A2:B2967,2,FALSE)</f>
        <v/>
      </c>
    </row>
    <row r="4922">
      <c r="A4922" t="inlineStr">
        <is>
          <t xml:space="preserve">home owner </t>
        </is>
      </c>
      <c r="B4922">
        <f>VLOOKUP(797,Requirements!A2:B2967,2,FALSE)</f>
        <v/>
      </c>
    </row>
    <row r="4923">
      <c r="A4923" t="inlineStr">
        <is>
          <t xml:space="preserve">home owner </t>
        </is>
      </c>
      <c r="B4923">
        <f>VLOOKUP(798,Requirements!A2:B2967,2,FALSE)</f>
        <v/>
      </c>
    </row>
    <row r="4924">
      <c r="A4924" t="inlineStr">
        <is>
          <t xml:space="preserve">home owner </t>
        </is>
      </c>
      <c r="B4924">
        <f>VLOOKUP(799,Requirements!A2:B2967,2,FALSE)</f>
        <v/>
      </c>
    </row>
    <row r="4925">
      <c r="A4925" t="inlineStr">
        <is>
          <t xml:space="preserve">home owner </t>
        </is>
      </c>
      <c r="B4925">
        <f>VLOOKUP(800,Requirements!A2:B2967,2,FALSE)</f>
        <v/>
      </c>
    </row>
    <row r="4926">
      <c r="A4926" t="inlineStr">
        <is>
          <t xml:space="preserve">home owner </t>
        </is>
      </c>
      <c r="B4926">
        <f>VLOOKUP(804,Requirements!A2:B2967,2,FALSE)</f>
        <v/>
      </c>
    </row>
    <row r="4927">
      <c r="A4927" t="inlineStr">
        <is>
          <t xml:space="preserve">home owner </t>
        </is>
      </c>
      <c r="B4927">
        <f>VLOOKUP(805,Requirements!A2:B2967,2,FALSE)</f>
        <v/>
      </c>
    </row>
    <row r="4928">
      <c r="A4928" t="inlineStr">
        <is>
          <t xml:space="preserve">home owner </t>
        </is>
      </c>
      <c r="B4928">
        <f>VLOOKUP(808,Requirements!A2:B2967,2,FALSE)</f>
        <v/>
      </c>
    </row>
    <row r="4929">
      <c r="A4929" t="inlineStr">
        <is>
          <t xml:space="preserve">home owner </t>
        </is>
      </c>
      <c r="B4929">
        <f>VLOOKUP(813,Requirements!A2:B2967,2,FALSE)</f>
        <v/>
      </c>
    </row>
    <row r="4930">
      <c r="A4930" t="inlineStr">
        <is>
          <t xml:space="preserve">home owner </t>
        </is>
      </c>
      <c r="B4930">
        <f>VLOOKUP(814,Requirements!A2:B2967,2,FALSE)</f>
        <v/>
      </c>
    </row>
    <row r="4931">
      <c r="A4931" t="inlineStr">
        <is>
          <t xml:space="preserve">home owner </t>
        </is>
      </c>
      <c r="B4931">
        <f>VLOOKUP(821,Requirements!A2:B2967,2,FALSE)</f>
        <v/>
      </c>
    </row>
    <row r="4932">
      <c r="A4932" t="inlineStr">
        <is>
          <t xml:space="preserve">home owner </t>
        </is>
      </c>
      <c r="B4932">
        <f>VLOOKUP(824,Requirements!A2:B2967,2,FALSE)</f>
        <v/>
      </c>
    </row>
    <row r="4933">
      <c r="A4933" t="inlineStr">
        <is>
          <t xml:space="preserve">home owner </t>
        </is>
      </c>
      <c r="B4933">
        <f>VLOOKUP(829,Requirements!A2:B2967,2,FALSE)</f>
        <v/>
      </c>
    </row>
    <row r="4934">
      <c r="A4934" t="inlineStr">
        <is>
          <t xml:space="preserve">home owner </t>
        </is>
      </c>
      <c r="B4934">
        <f>VLOOKUP(830,Requirements!A2:B2967,2,FALSE)</f>
        <v/>
      </c>
    </row>
    <row r="4935">
      <c r="A4935" t="inlineStr">
        <is>
          <t xml:space="preserve">home owner </t>
        </is>
      </c>
      <c r="B4935">
        <f>VLOOKUP(834,Requirements!A2:B2967,2,FALSE)</f>
        <v/>
      </c>
    </row>
    <row r="4936">
      <c r="A4936" t="inlineStr">
        <is>
          <t xml:space="preserve">home owner </t>
        </is>
      </c>
      <c r="B4936">
        <f>VLOOKUP(837,Requirements!A2:B2967,2,FALSE)</f>
        <v/>
      </c>
    </row>
    <row r="4937">
      <c r="A4937" t="inlineStr">
        <is>
          <t xml:space="preserve">home owner </t>
        </is>
      </c>
      <c r="B4937">
        <f>VLOOKUP(838,Requirements!A2:B2967,2,FALSE)</f>
        <v/>
      </c>
    </row>
    <row r="4938">
      <c r="A4938" t="inlineStr">
        <is>
          <t xml:space="preserve">home owner </t>
        </is>
      </c>
      <c r="B4938">
        <f>VLOOKUP(842,Requirements!A2:B2967,2,FALSE)</f>
        <v/>
      </c>
    </row>
    <row r="4939">
      <c r="A4939" t="inlineStr">
        <is>
          <t xml:space="preserve">home owner </t>
        </is>
      </c>
      <c r="B4939">
        <f>VLOOKUP(845,Requirements!A2:B2967,2,FALSE)</f>
        <v/>
      </c>
    </row>
    <row r="4940">
      <c r="A4940" t="inlineStr">
        <is>
          <t xml:space="preserve">home owner </t>
        </is>
      </c>
      <c r="B4940">
        <f>VLOOKUP(846,Requirements!A2:B2967,2,FALSE)</f>
        <v/>
      </c>
    </row>
    <row r="4941">
      <c r="A4941" t="inlineStr">
        <is>
          <t xml:space="preserve">home owner </t>
        </is>
      </c>
      <c r="B4941">
        <f>VLOOKUP(853,Requirements!A2:B2967,2,FALSE)</f>
        <v/>
      </c>
    </row>
    <row r="4942">
      <c r="A4942" t="inlineStr">
        <is>
          <t xml:space="preserve">home owner </t>
        </is>
      </c>
      <c r="B4942">
        <f>VLOOKUP(860,Requirements!A2:B2967,2,FALSE)</f>
        <v/>
      </c>
    </row>
    <row r="4943">
      <c r="A4943" t="inlineStr">
        <is>
          <t xml:space="preserve">home owner </t>
        </is>
      </c>
      <c r="B4943">
        <f>VLOOKUP(874,Requirements!A2:B2967,2,FALSE)</f>
        <v/>
      </c>
    </row>
    <row r="4944">
      <c r="A4944" t="inlineStr">
        <is>
          <t xml:space="preserve">home owner </t>
        </is>
      </c>
      <c r="B4944">
        <f>VLOOKUP(880,Requirements!A2:B2967,2,FALSE)</f>
        <v/>
      </c>
    </row>
    <row r="4945">
      <c r="A4945" t="inlineStr">
        <is>
          <t xml:space="preserve">home owner </t>
        </is>
      </c>
      <c r="B4945">
        <f>VLOOKUP(883,Requirements!A2:B2967,2,FALSE)</f>
        <v/>
      </c>
    </row>
    <row r="4946">
      <c r="A4946" t="inlineStr">
        <is>
          <t xml:space="preserve">home owner </t>
        </is>
      </c>
      <c r="B4946">
        <f>VLOOKUP(886,Requirements!A2:B2967,2,FALSE)</f>
        <v/>
      </c>
    </row>
    <row r="4947">
      <c r="A4947" t="inlineStr">
        <is>
          <t xml:space="preserve">home owner </t>
        </is>
      </c>
      <c r="B4947">
        <f>VLOOKUP(888,Requirements!A2:B2967,2,FALSE)</f>
        <v/>
      </c>
    </row>
    <row r="4948">
      <c r="A4948" t="inlineStr">
        <is>
          <t xml:space="preserve">home owner </t>
        </is>
      </c>
      <c r="B4948">
        <f>VLOOKUP(890,Requirements!A2:B2967,2,FALSE)</f>
        <v/>
      </c>
    </row>
    <row r="4949">
      <c r="A4949" t="inlineStr">
        <is>
          <t xml:space="preserve">home owner </t>
        </is>
      </c>
      <c r="B4949">
        <f>VLOOKUP(892,Requirements!A2:B2967,2,FALSE)</f>
        <v/>
      </c>
    </row>
    <row r="4950">
      <c r="A4950" t="inlineStr">
        <is>
          <t xml:space="preserve">home owner </t>
        </is>
      </c>
      <c r="B4950">
        <f>VLOOKUP(894,Requirements!A2:B2967,2,FALSE)</f>
        <v/>
      </c>
    </row>
    <row r="4951">
      <c r="A4951" t="inlineStr">
        <is>
          <t xml:space="preserve">home owner </t>
        </is>
      </c>
      <c r="B4951">
        <f>VLOOKUP(896,Requirements!A2:B2967,2,FALSE)</f>
        <v/>
      </c>
    </row>
    <row r="4952">
      <c r="A4952" t="inlineStr">
        <is>
          <t xml:space="preserve">home owner </t>
        </is>
      </c>
      <c r="B4952">
        <f>VLOOKUP(897,Requirements!A2:B2967,2,FALSE)</f>
        <v/>
      </c>
    </row>
    <row r="4953">
      <c r="A4953" t="inlineStr">
        <is>
          <t xml:space="preserve">home owner </t>
        </is>
      </c>
      <c r="B4953">
        <f>VLOOKUP(899,Requirements!A2:B2967,2,FALSE)</f>
        <v/>
      </c>
    </row>
    <row r="4954">
      <c r="A4954" t="inlineStr">
        <is>
          <t xml:space="preserve">home owner </t>
        </is>
      </c>
      <c r="B4954">
        <f>VLOOKUP(909,Requirements!A2:B2967,2,FALSE)</f>
        <v/>
      </c>
    </row>
    <row r="4955">
      <c r="A4955" t="inlineStr">
        <is>
          <t xml:space="preserve">home owner </t>
        </is>
      </c>
      <c r="B4955">
        <f>VLOOKUP(911,Requirements!A2:B2967,2,FALSE)</f>
        <v/>
      </c>
    </row>
    <row r="4956">
      <c r="A4956" t="inlineStr">
        <is>
          <t xml:space="preserve">home owner </t>
        </is>
      </c>
      <c r="B4956">
        <f>VLOOKUP(912,Requirements!A2:B2967,2,FALSE)</f>
        <v/>
      </c>
    </row>
    <row r="4957">
      <c r="A4957" t="inlineStr">
        <is>
          <t xml:space="preserve">home owner </t>
        </is>
      </c>
      <c r="B4957">
        <f>VLOOKUP(919,Requirements!A2:B2967,2,FALSE)</f>
        <v/>
      </c>
    </row>
    <row r="4958">
      <c r="A4958" t="inlineStr">
        <is>
          <t xml:space="preserve">home owner </t>
        </is>
      </c>
      <c r="B4958">
        <f>VLOOKUP(924,Requirements!A2:B2967,2,FALSE)</f>
        <v/>
      </c>
    </row>
    <row r="4959">
      <c r="A4959" t="inlineStr">
        <is>
          <t xml:space="preserve">home owner </t>
        </is>
      </c>
      <c r="B4959">
        <f>VLOOKUP(929,Requirements!A2:B2967,2,FALSE)</f>
        <v/>
      </c>
    </row>
    <row r="4960">
      <c r="A4960" t="inlineStr">
        <is>
          <t xml:space="preserve">home owner </t>
        </is>
      </c>
      <c r="B4960">
        <f>VLOOKUP(931,Requirements!A2:B2967,2,FALSE)</f>
        <v/>
      </c>
    </row>
    <row r="4961">
      <c r="A4961" t="inlineStr">
        <is>
          <t xml:space="preserve">home owner </t>
        </is>
      </c>
      <c r="B4961">
        <f>VLOOKUP(935,Requirements!A2:B2967,2,FALSE)</f>
        <v/>
      </c>
    </row>
    <row r="4962">
      <c r="A4962" t="inlineStr">
        <is>
          <t xml:space="preserve">home owner </t>
        </is>
      </c>
      <c r="B4962">
        <f>VLOOKUP(967,Requirements!A2:B2967,2,FALSE)</f>
        <v/>
      </c>
    </row>
    <row r="4963">
      <c r="A4963" t="inlineStr">
        <is>
          <t xml:space="preserve">home owner </t>
        </is>
      </c>
      <c r="B4963">
        <f>VLOOKUP(968,Requirements!A2:B2967,2,FALSE)</f>
        <v/>
      </c>
    </row>
    <row r="4964">
      <c r="A4964" t="inlineStr">
        <is>
          <t xml:space="preserve">home owner </t>
        </is>
      </c>
      <c r="B4964">
        <f>VLOOKUP(969,Requirements!A2:B2967,2,FALSE)</f>
        <v/>
      </c>
    </row>
    <row r="4965">
      <c r="A4965" t="inlineStr">
        <is>
          <t xml:space="preserve">home owner </t>
        </is>
      </c>
      <c r="B4965">
        <f>VLOOKUP(973,Requirements!A2:B2967,2,FALSE)</f>
        <v/>
      </c>
    </row>
    <row r="4966">
      <c r="A4966" t="inlineStr">
        <is>
          <t xml:space="preserve">home owner </t>
        </is>
      </c>
      <c r="B4966">
        <f>VLOOKUP(976,Requirements!A2:B2967,2,FALSE)</f>
        <v/>
      </c>
    </row>
    <row r="4967">
      <c r="A4967" t="inlineStr">
        <is>
          <t xml:space="preserve">home owner </t>
        </is>
      </c>
      <c r="B4967">
        <f>VLOOKUP(978,Requirements!A2:B2967,2,FALSE)</f>
        <v/>
      </c>
    </row>
    <row r="4968">
      <c r="A4968" t="inlineStr">
        <is>
          <t xml:space="preserve">home owner </t>
        </is>
      </c>
      <c r="B4968">
        <f>VLOOKUP(980,Requirements!A2:B2967,2,FALSE)</f>
        <v/>
      </c>
    </row>
    <row r="4969">
      <c r="A4969" t="inlineStr">
        <is>
          <t xml:space="preserve">home owner </t>
        </is>
      </c>
      <c r="B4969">
        <f>VLOOKUP(981,Requirements!A2:B2967,2,FALSE)</f>
        <v/>
      </c>
    </row>
    <row r="4970">
      <c r="A4970" t="inlineStr">
        <is>
          <t xml:space="preserve">home owner </t>
        </is>
      </c>
      <c r="B4970">
        <f>VLOOKUP(985,Requirements!A2:B2967,2,FALSE)</f>
        <v/>
      </c>
    </row>
    <row r="4971">
      <c r="A4971" t="inlineStr">
        <is>
          <t xml:space="preserve">home owner </t>
        </is>
      </c>
      <c r="B4971">
        <f>VLOOKUP(989,Requirements!A2:B2967,2,FALSE)</f>
        <v/>
      </c>
    </row>
    <row r="4972">
      <c r="A4972" t="inlineStr">
        <is>
          <t xml:space="preserve">home owner </t>
        </is>
      </c>
      <c r="B4972">
        <f>VLOOKUP(993,Requirements!A2:B2967,2,FALSE)</f>
        <v/>
      </c>
    </row>
    <row r="4973">
      <c r="A4973" t="inlineStr">
        <is>
          <t xml:space="preserve">home owner </t>
        </is>
      </c>
      <c r="B4973">
        <f>VLOOKUP(1016,Requirements!A2:B2967,2,FALSE)</f>
        <v/>
      </c>
    </row>
    <row r="4974">
      <c r="A4974" t="inlineStr">
        <is>
          <t xml:space="preserve">home owner </t>
        </is>
      </c>
      <c r="B4974">
        <f>VLOOKUP(1017,Requirements!A2:B2967,2,FALSE)</f>
        <v/>
      </c>
    </row>
    <row r="4975">
      <c r="A4975" t="inlineStr">
        <is>
          <t xml:space="preserve">home owner </t>
        </is>
      </c>
      <c r="B4975">
        <f>VLOOKUP(1018,Requirements!A2:B2967,2,FALSE)</f>
        <v/>
      </c>
    </row>
    <row r="4976">
      <c r="A4976" t="inlineStr">
        <is>
          <t xml:space="preserve">home owner </t>
        </is>
      </c>
      <c r="B4976">
        <f>VLOOKUP(1019,Requirements!A2:B2967,2,FALSE)</f>
        <v/>
      </c>
    </row>
    <row r="4977">
      <c r="A4977" t="inlineStr">
        <is>
          <t xml:space="preserve">home owner </t>
        </is>
      </c>
      <c r="B4977">
        <f>VLOOKUP(1020,Requirements!A2:B2967,2,FALSE)</f>
        <v/>
      </c>
    </row>
    <row r="4978">
      <c r="A4978" t="inlineStr">
        <is>
          <t xml:space="preserve">home owner </t>
        </is>
      </c>
      <c r="B4978">
        <f>VLOOKUP(1021,Requirements!A2:B2967,2,FALSE)</f>
        <v/>
      </c>
    </row>
    <row r="4979">
      <c r="A4979" t="inlineStr">
        <is>
          <t xml:space="preserve">home owner </t>
        </is>
      </c>
      <c r="B4979">
        <f>VLOOKUP(1022,Requirements!A2:B2967,2,FALSE)</f>
        <v/>
      </c>
    </row>
    <row r="4980">
      <c r="A4980" t="inlineStr">
        <is>
          <t xml:space="preserve">home owner </t>
        </is>
      </c>
      <c r="B4980">
        <f>VLOOKUP(1023,Requirements!A2:B2967,2,FALSE)</f>
        <v/>
      </c>
    </row>
    <row r="4981">
      <c r="A4981" t="inlineStr">
        <is>
          <t xml:space="preserve">home owner </t>
        </is>
      </c>
      <c r="B4981">
        <f>VLOOKUP(1024,Requirements!A2:B2967,2,FALSE)</f>
        <v/>
      </c>
    </row>
    <row r="4982">
      <c r="A4982" t="inlineStr">
        <is>
          <t xml:space="preserve">home owner </t>
        </is>
      </c>
      <c r="B4982">
        <f>VLOOKUP(1025,Requirements!A2:B2967,2,FALSE)</f>
        <v/>
      </c>
    </row>
    <row r="4983">
      <c r="A4983" t="inlineStr">
        <is>
          <t xml:space="preserve">home owner </t>
        </is>
      </c>
      <c r="B4983">
        <f>VLOOKUP(1028,Requirements!A2:B2967,2,FALSE)</f>
        <v/>
      </c>
    </row>
    <row r="4984">
      <c r="A4984" t="inlineStr">
        <is>
          <t xml:space="preserve">home owner </t>
        </is>
      </c>
      <c r="B4984">
        <f>VLOOKUP(1029,Requirements!A2:B2967,2,FALSE)</f>
        <v/>
      </c>
    </row>
    <row r="4985">
      <c r="A4985" t="inlineStr">
        <is>
          <t xml:space="preserve">home owner </t>
        </is>
      </c>
      <c r="B4985">
        <f>VLOOKUP(1034,Requirements!A2:B2967,2,FALSE)</f>
        <v/>
      </c>
    </row>
    <row r="4986">
      <c r="A4986" t="inlineStr">
        <is>
          <t xml:space="preserve">home owner </t>
        </is>
      </c>
      <c r="B4986">
        <f>VLOOKUP(1036,Requirements!A2:B2967,2,FALSE)</f>
        <v/>
      </c>
    </row>
    <row r="4987">
      <c r="A4987" t="inlineStr">
        <is>
          <t xml:space="preserve">home owner </t>
        </is>
      </c>
      <c r="B4987">
        <f>VLOOKUP(1038,Requirements!A2:B2967,2,FALSE)</f>
        <v/>
      </c>
    </row>
    <row r="4988">
      <c r="A4988" t="inlineStr">
        <is>
          <t xml:space="preserve">home owner </t>
        </is>
      </c>
      <c r="B4988">
        <f>VLOOKUP(1043,Requirements!A2:B2967,2,FALSE)</f>
        <v/>
      </c>
    </row>
    <row r="4989">
      <c r="A4989" t="inlineStr">
        <is>
          <t xml:space="preserve">home owner </t>
        </is>
      </c>
      <c r="B4989">
        <f>VLOOKUP(1045,Requirements!A2:B2967,2,FALSE)</f>
        <v/>
      </c>
    </row>
    <row r="4990">
      <c r="A4990" t="inlineStr">
        <is>
          <t xml:space="preserve">home owner </t>
        </is>
      </c>
      <c r="B4990">
        <f>VLOOKUP(1053,Requirements!A2:B2967,2,FALSE)</f>
        <v/>
      </c>
    </row>
    <row r="4991">
      <c r="A4991" t="inlineStr">
        <is>
          <t xml:space="preserve">home owner </t>
        </is>
      </c>
      <c r="B4991">
        <f>VLOOKUP(1056,Requirements!A2:B2967,2,FALSE)</f>
        <v/>
      </c>
    </row>
    <row r="4992">
      <c r="A4992" t="inlineStr">
        <is>
          <t xml:space="preserve">home owner </t>
        </is>
      </c>
      <c r="B4992">
        <f>VLOOKUP(1058,Requirements!A2:B2967,2,FALSE)</f>
        <v/>
      </c>
    </row>
    <row r="4993">
      <c r="A4993" t="inlineStr">
        <is>
          <t xml:space="preserve">home owner </t>
        </is>
      </c>
      <c r="B4993">
        <f>VLOOKUP(1060,Requirements!A2:B2967,2,FALSE)</f>
        <v/>
      </c>
    </row>
    <row r="4994">
      <c r="A4994" t="inlineStr">
        <is>
          <t xml:space="preserve">home owner </t>
        </is>
      </c>
      <c r="B4994">
        <f>VLOOKUP(1061,Requirements!A2:B2967,2,FALSE)</f>
        <v/>
      </c>
    </row>
    <row r="4995">
      <c r="A4995" t="inlineStr">
        <is>
          <t xml:space="preserve">home owner </t>
        </is>
      </c>
      <c r="B4995">
        <f>VLOOKUP(1062,Requirements!A2:B2967,2,FALSE)</f>
        <v/>
      </c>
    </row>
    <row r="4996">
      <c r="A4996" t="inlineStr">
        <is>
          <t xml:space="preserve">home owner </t>
        </is>
      </c>
      <c r="B4996">
        <f>VLOOKUP(1065,Requirements!A2:B2967,2,FALSE)</f>
        <v/>
      </c>
    </row>
    <row r="4997">
      <c r="A4997" t="inlineStr">
        <is>
          <t xml:space="preserve">home owner </t>
        </is>
      </c>
      <c r="B4997">
        <f>VLOOKUP(1066,Requirements!A2:B2967,2,FALSE)</f>
        <v/>
      </c>
    </row>
    <row r="4998">
      <c r="A4998" t="inlineStr">
        <is>
          <t xml:space="preserve">home owner </t>
        </is>
      </c>
      <c r="B4998">
        <f>VLOOKUP(1067,Requirements!A2:B2967,2,FALSE)</f>
        <v/>
      </c>
    </row>
    <row r="4999">
      <c r="A4999" t="inlineStr">
        <is>
          <t xml:space="preserve">home owner </t>
        </is>
      </c>
      <c r="B4999">
        <f>VLOOKUP(1068,Requirements!A2:B2967,2,FALSE)</f>
        <v/>
      </c>
    </row>
    <row r="5000">
      <c r="A5000" t="inlineStr">
        <is>
          <t xml:space="preserve">home owner </t>
        </is>
      </c>
      <c r="B5000">
        <f>VLOOKUP(1072,Requirements!A2:B2967,2,FALSE)</f>
        <v/>
      </c>
    </row>
    <row r="5001">
      <c r="A5001" t="inlineStr">
        <is>
          <t xml:space="preserve">home owner </t>
        </is>
      </c>
      <c r="B5001">
        <f>VLOOKUP(1077,Requirements!A2:B2967,2,FALSE)</f>
        <v/>
      </c>
    </row>
    <row r="5002">
      <c r="A5002" t="inlineStr">
        <is>
          <t xml:space="preserve">home owner </t>
        </is>
      </c>
      <c r="B5002">
        <f>VLOOKUP(1078,Requirements!A2:B2967,2,FALSE)</f>
        <v/>
      </c>
    </row>
    <row r="5003">
      <c r="A5003" t="inlineStr">
        <is>
          <t xml:space="preserve">home owner </t>
        </is>
      </c>
      <c r="B5003">
        <f>VLOOKUP(1083,Requirements!A2:B2967,2,FALSE)</f>
        <v/>
      </c>
    </row>
    <row r="5004">
      <c r="A5004" t="inlineStr">
        <is>
          <t xml:space="preserve">home owner </t>
        </is>
      </c>
      <c r="B5004">
        <f>VLOOKUP(1086,Requirements!A2:B2967,2,FALSE)</f>
        <v/>
      </c>
    </row>
    <row r="5005">
      <c r="A5005" t="inlineStr">
        <is>
          <t xml:space="preserve">home owner </t>
        </is>
      </c>
      <c r="B5005">
        <f>VLOOKUP(1089,Requirements!A2:B2967,2,FALSE)</f>
        <v/>
      </c>
    </row>
    <row r="5006">
      <c r="A5006" t="inlineStr">
        <is>
          <t xml:space="preserve">home owner </t>
        </is>
      </c>
      <c r="B5006">
        <f>VLOOKUP(1101,Requirements!A2:B2967,2,FALSE)</f>
        <v/>
      </c>
    </row>
    <row r="5007">
      <c r="A5007" t="inlineStr">
        <is>
          <t xml:space="preserve">home owner </t>
        </is>
      </c>
      <c r="B5007">
        <f>VLOOKUP(1105,Requirements!A2:B2967,2,FALSE)</f>
        <v/>
      </c>
    </row>
    <row r="5008">
      <c r="A5008" t="inlineStr">
        <is>
          <t xml:space="preserve">home owner </t>
        </is>
      </c>
      <c r="B5008">
        <f>VLOOKUP(1109,Requirements!A2:B2967,2,FALSE)</f>
        <v/>
      </c>
    </row>
    <row r="5009">
      <c r="A5009" t="inlineStr">
        <is>
          <t xml:space="preserve">home owner </t>
        </is>
      </c>
      <c r="B5009">
        <f>VLOOKUP(1110,Requirements!A2:B2967,2,FALSE)</f>
        <v/>
      </c>
    </row>
    <row r="5010">
      <c r="A5010" t="inlineStr">
        <is>
          <t xml:space="preserve">home owner </t>
        </is>
      </c>
      <c r="B5010">
        <f>VLOOKUP(1112,Requirements!A2:B2967,2,FALSE)</f>
        <v/>
      </c>
    </row>
    <row r="5011">
      <c r="A5011" t="inlineStr">
        <is>
          <t xml:space="preserve">home owner </t>
        </is>
      </c>
      <c r="B5011">
        <f>VLOOKUP(1114,Requirements!A2:B2967,2,FALSE)</f>
        <v/>
      </c>
    </row>
    <row r="5012">
      <c r="A5012" t="inlineStr">
        <is>
          <t xml:space="preserve">home owner </t>
        </is>
      </c>
      <c r="B5012">
        <f>VLOOKUP(1116,Requirements!A2:B2967,2,FALSE)</f>
        <v/>
      </c>
    </row>
    <row r="5013">
      <c r="A5013" t="inlineStr">
        <is>
          <t xml:space="preserve">home owner </t>
        </is>
      </c>
      <c r="B5013">
        <f>VLOOKUP(1117,Requirements!A2:B2967,2,FALSE)</f>
        <v/>
      </c>
    </row>
    <row r="5014">
      <c r="A5014" t="inlineStr">
        <is>
          <t xml:space="preserve">home owner </t>
        </is>
      </c>
      <c r="B5014">
        <f>VLOOKUP(1120,Requirements!A2:B2967,2,FALSE)</f>
        <v/>
      </c>
    </row>
    <row r="5015">
      <c r="A5015" t="inlineStr">
        <is>
          <t xml:space="preserve">home owner </t>
        </is>
      </c>
      <c r="B5015">
        <f>VLOOKUP(1122,Requirements!A2:B2967,2,FALSE)</f>
        <v/>
      </c>
    </row>
    <row r="5016">
      <c r="A5016" t="inlineStr">
        <is>
          <t xml:space="preserve">home owner </t>
        </is>
      </c>
      <c r="B5016">
        <f>VLOOKUP(1124,Requirements!A2:B2967,2,FALSE)</f>
        <v/>
      </c>
    </row>
    <row r="5017">
      <c r="A5017" t="inlineStr">
        <is>
          <t xml:space="preserve">home owner </t>
        </is>
      </c>
      <c r="B5017">
        <f>VLOOKUP(1130,Requirements!A2:B2967,2,FALSE)</f>
        <v/>
      </c>
    </row>
    <row r="5018">
      <c r="A5018" t="inlineStr">
        <is>
          <t xml:space="preserve">home owner </t>
        </is>
      </c>
      <c r="B5018">
        <f>VLOOKUP(1131,Requirements!A2:B2967,2,FALSE)</f>
        <v/>
      </c>
    </row>
    <row r="5019">
      <c r="A5019" t="inlineStr">
        <is>
          <t xml:space="preserve">home owner </t>
        </is>
      </c>
      <c r="B5019">
        <f>VLOOKUP(1133,Requirements!A2:B2967,2,FALSE)</f>
        <v/>
      </c>
    </row>
    <row r="5020">
      <c r="A5020" t="inlineStr">
        <is>
          <t xml:space="preserve">home owner </t>
        </is>
      </c>
      <c r="B5020">
        <f>VLOOKUP(1145,Requirements!A2:B2967,2,FALSE)</f>
        <v/>
      </c>
    </row>
    <row r="5021">
      <c r="A5021" t="inlineStr">
        <is>
          <t xml:space="preserve">home owner </t>
        </is>
      </c>
      <c r="B5021">
        <f>VLOOKUP(1148,Requirements!A2:B2967,2,FALSE)</f>
        <v/>
      </c>
    </row>
    <row r="5022">
      <c r="A5022" t="inlineStr">
        <is>
          <t xml:space="preserve">home owner </t>
        </is>
      </c>
      <c r="B5022">
        <f>VLOOKUP(1163,Requirements!A2:B2967,2,FALSE)</f>
        <v/>
      </c>
    </row>
    <row r="5023">
      <c r="A5023" t="inlineStr">
        <is>
          <t xml:space="preserve">home owner </t>
        </is>
      </c>
      <c r="B5023">
        <f>VLOOKUP(1164,Requirements!A2:B2967,2,FALSE)</f>
        <v/>
      </c>
    </row>
    <row r="5024">
      <c r="A5024" t="inlineStr">
        <is>
          <t xml:space="preserve">home owner </t>
        </is>
      </c>
      <c r="B5024">
        <f>VLOOKUP(1166,Requirements!A2:B2967,2,FALSE)</f>
        <v/>
      </c>
    </row>
    <row r="5025">
      <c r="A5025" t="inlineStr">
        <is>
          <t xml:space="preserve">home owner </t>
        </is>
      </c>
      <c r="B5025">
        <f>VLOOKUP(1167,Requirements!A2:B2967,2,FALSE)</f>
        <v/>
      </c>
    </row>
    <row r="5026">
      <c r="A5026" t="inlineStr">
        <is>
          <t xml:space="preserve">home owner </t>
        </is>
      </c>
      <c r="B5026">
        <f>VLOOKUP(1169,Requirements!A2:B2967,2,FALSE)</f>
        <v/>
      </c>
    </row>
    <row r="5027">
      <c r="A5027" t="inlineStr">
        <is>
          <t xml:space="preserve">home owner </t>
        </is>
      </c>
      <c r="B5027">
        <f>VLOOKUP(1170,Requirements!A2:B2967,2,FALSE)</f>
        <v/>
      </c>
    </row>
    <row r="5028">
      <c r="A5028" t="inlineStr">
        <is>
          <t xml:space="preserve">home owner </t>
        </is>
      </c>
      <c r="B5028">
        <f>VLOOKUP(1171,Requirements!A2:B2967,2,FALSE)</f>
        <v/>
      </c>
    </row>
    <row r="5029">
      <c r="A5029" t="inlineStr">
        <is>
          <t xml:space="preserve">home owner </t>
        </is>
      </c>
      <c r="B5029">
        <f>VLOOKUP(1172,Requirements!A2:B2967,2,FALSE)</f>
        <v/>
      </c>
    </row>
    <row r="5030">
      <c r="A5030" t="inlineStr">
        <is>
          <t xml:space="preserve">home owner </t>
        </is>
      </c>
      <c r="B5030">
        <f>VLOOKUP(1173,Requirements!A2:B2967,2,FALSE)</f>
        <v/>
      </c>
    </row>
    <row r="5031">
      <c r="A5031" t="inlineStr">
        <is>
          <t xml:space="preserve">home owner </t>
        </is>
      </c>
      <c r="B5031">
        <f>VLOOKUP(1174,Requirements!A2:B2967,2,FALSE)</f>
        <v/>
      </c>
    </row>
    <row r="5032">
      <c r="A5032" t="inlineStr">
        <is>
          <t xml:space="preserve">home owner </t>
        </is>
      </c>
      <c r="B5032">
        <f>VLOOKUP(1176,Requirements!A2:B2967,2,FALSE)</f>
        <v/>
      </c>
    </row>
    <row r="5033">
      <c r="A5033" t="inlineStr">
        <is>
          <t xml:space="preserve">home owner </t>
        </is>
      </c>
      <c r="B5033">
        <f>VLOOKUP(1177,Requirements!A2:B2967,2,FALSE)</f>
        <v/>
      </c>
    </row>
    <row r="5034">
      <c r="A5034" t="inlineStr">
        <is>
          <t xml:space="preserve">home owner </t>
        </is>
      </c>
      <c r="B5034">
        <f>VLOOKUP(1178,Requirements!A2:B2967,2,FALSE)</f>
        <v/>
      </c>
    </row>
    <row r="5035">
      <c r="A5035" t="inlineStr">
        <is>
          <t xml:space="preserve">home owner </t>
        </is>
      </c>
      <c r="B5035">
        <f>VLOOKUP(1190,Requirements!A2:B2967,2,FALSE)</f>
        <v/>
      </c>
    </row>
    <row r="5036">
      <c r="A5036" t="inlineStr">
        <is>
          <t xml:space="preserve">home owner </t>
        </is>
      </c>
      <c r="B5036">
        <f>VLOOKUP(1195,Requirements!A2:B2967,2,FALSE)</f>
        <v/>
      </c>
    </row>
    <row r="5037">
      <c r="A5037" t="inlineStr">
        <is>
          <t xml:space="preserve">home owner </t>
        </is>
      </c>
      <c r="B5037">
        <f>VLOOKUP(1198,Requirements!A2:B2967,2,FALSE)</f>
        <v/>
      </c>
    </row>
    <row r="5038">
      <c r="A5038" t="inlineStr">
        <is>
          <t xml:space="preserve">home owner </t>
        </is>
      </c>
      <c r="B5038">
        <f>VLOOKUP(1200,Requirements!A2:B2967,2,FALSE)</f>
        <v/>
      </c>
    </row>
    <row r="5039">
      <c r="A5039" t="inlineStr">
        <is>
          <t xml:space="preserve">home owner </t>
        </is>
      </c>
      <c r="B5039">
        <f>VLOOKUP(1314,Requirements!A2:B2967,2,FALSE)</f>
        <v/>
      </c>
    </row>
    <row r="5040">
      <c r="A5040" t="inlineStr">
        <is>
          <t xml:space="preserve">home owner </t>
        </is>
      </c>
      <c r="B5040">
        <f>VLOOKUP(1323,Requirements!A2:B2967,2,FALSE)</f>
        <v/>
      </c>
    </row>
    <row r="5041">
      <c r="A5041" t="inlineStr">
        <is>
          <t xml:space="preserve">home owner </t>
        </is>
      </c>
      <c r="B5041">
        <f>VLOOKUP(1331,Requirements!A2:B2967,2,FALSE)</f>
        <v/>
      </c>
    </row>
    <row r="5042">
      <c r="A5042" t="inlineStr">
        <is>
          <t xml:space="preserve">home owner </t>
        </is>
      </c>
      <c r="B5042">
        <f>VLOOKUP(1337,Requirements!A2:B2967,2,FALSE)</f>
        <v/>
      </c>
    </row>
    <row r="5043">
      <c r="A5043" t="inlineStr">
        <is>
          <t xml:space="preserve">home owner </t>
        </is>
      </c>
      <c r="B5043">
        <f>VLOOKUP(1343,Requirements!A2:B2967,2,FALSE)</f>
        <v/>
      </c>
    </row>
    <row r="5044">
      <c r="A5044" t="inlineStr">
        <is>
          <t xml:space="preserve">home owner </t>
        </is>
      </c>
      <c r="B5044">
        <f>VLOOKUP(1348,Requirements!A2:B2967,2,FALSE)</f>
        <v/>
      </c>
    </row>
    <row r="5045">
      <c r="A5045" t="inlineStr">
        <is>
          <t xml:space="preserve">home owner </t>
        </is>
      </c>
      <c r="B5045">
        <f>VLOOKUP(1350,Requirements!A2:B2967,2,FALSE)</f>
        <v/>
      </c>
    </row>
    <row r="5046">
      <c r="A5046" t="inlineStr">
        <is>
          <t xml:space="preserve">home owner </t>
        </is>
      </c>
      <c r="B5046">
        <f>VLOOKUP(1357,Requirements!A2:B2967,2,FALSE)</f>
        <v/>
      </c>
    </row>
    <row r="5047">
      <c r="A5047" t="inlineStr">
        <is>
          <t xml:space="preserve">home owner </t>
        </is>
      </c>
      <c r="B5047">
        <f>VLOOKUP(1358,Requirements!A2:B2967,2,FALSE)</f>
        <v/>
      </c>
    </row>
    <row r="5048">
      <c r="A5048" t="inlineStr">
        <is>
          <t xml:space="preserve">home owner </t>
        </is>
      </c>
      <c r="B5048">
        <f>VLOOKUP(1359,Requirements!A2:B2967,2,FALSE)</f>
        <v/>
      </c>
    </row>
    <row r="5049">
      <c r="A5049" t="inlineStr">
        <is>
          <t xml:space="preserve">home owner </t>
        </is>
      </c>
      <c r="B5049">
        <f>VLOOKUP(1360,Requirements!A2:B2967,2,FALSE)</f>
        <v/>
      </c>
    </row>
    <row r="5050">
      <c r="A5050" t="inlineStr">
        <is>
          <t xml:space="preserve">home owner </t>
        </is>
      </c>
      <c r="B5050">
        <f>VLOOKUP(1362,Requirements!A2:B2967,2,FALSE)</f>
        <v/>
      </c>
    </row>
    <row r="5051">
      <c r="A5051" t="inlineStr">
        <is>
          <t xml:space="preserve">home owner </t>
        </is>
      </c>
      <c r="B5051">
        <f>VLOOKUP(1364,Requirements!A2:B2967,2,FALSE)</f>
        <v/>
      </c>
    </row>
    <row r="5052">
      <c r="A5052" t="inlineStr">
        <is>
          <t xml:space="preserve">home owner </t>
        </is>
      </c>
      <c r="B5052">
        <f>VLOOKUP(1378,Requirements!A2:B2967,2,FALSE)</f>
        <v/>
      </c>
    </row>
    <row r="5053">
      <c r="A5053" t="inlineStr">
        <is>
          <t xml:space="preserve">home owner </t>
        </is>
      </c>
      <c r="B5053">
        <f>VLOOKUP(1380,Requirements!A2:B2967,2,FALSE)</f>
        <v/>
      </c>
    </row>
    <row r="5054">
      <c r="A5054" t="inlineStr">
        <is>
          <t xml:space="preserve">home owner </t>
        </is>
      </c>
      <c r="B5054">
        <f>VLOOKUP(1381,Requirements!A2:B2967,2,FALSE)</f>
        <v/>
      </c>
    </row>
    <row r="5055">
      <c r="A5055" t="inlineStr">
        <is>
          <t xml:space="preserve">home owner </t>
        </is>
      </c>
      <c r="B5055">
        <f>VLOOKUP(1382,Requirements!A2:B2967,2,FALSE)</f>
        <v/>
      </c>
    </row>
    <row r="5056">
      <c r="A5056" t="inlineStr">
        <is>
          <t xml:space="preserve">home owner </t>
        </is>
      </c>
      <c r="B5056">
        <f>VLOOKUP(1385,Requirements!A2:B2967,2,FALSE)</f>
        <v/>
      </c>
    </row>
    <row r="5057">
      <c r="A5057" t="inlineStr">
        <is>
          <t xml:space="preserve">home owner </t>
        </is>
      </c>
      <c r="B5057">
        <f>VLOOKUP(1387,Requirements!A2:B2967,2,FALSE)</f>
        <v/>
      </c>
    </row>
    <row r="5058">
      <c r="A5058" t="inlineStr">
        <is>
          <t xml:space="preserve">home owner </t>
        </is>
      </c>
      <c r="B5058">
        <f>VLOOKUP(1388,Requirements!A2:B2967,2,FALSE)</f>
        <v/>
      </c>
    </row>
    <row r="5059">
      <c r="A5059" t="inlineStr">
        <is>
          <t xml:space="preserve">home owner </t>
        </is>
      </c>
      <c r="B5059">
        <f>VLOOKUP(1390,Requirements!A2:B2967,2,FALSE)</f>
        <v/>
      </c>
    </row>
    <row r="5060">
      <c r="A5060" t="inlineStr">
        <is>
          <t xml:space="preserve">home owner </t>
        </is>
      </c>
      <c r="B5060">
        <f>VLOOKUP(1391,Requirements!A2:B2967,2,FALSE)</f>
        <v/>
      </c>
    </row>
    <row r="5061">
      <c r="A5061" t="inlineStr">
        <is>
          <t xml:space="preserve">home owner </t>
        </is>
      </c>
      <c r="B5061">
        <f>VLOOKUP(1392,Requirements!A2:B2967,2,FALSE)</f>
        <v/>
      </c>
    </row>
    <row r="5062">
      <c r="A5062" t="inlineStr">
        <is>
          <t xml:space="preserve">home owner </t>
        </is>
      </c>
      <c r="B5062">
        <f>VLOOKUP(1393,Requirements!A2:B2967,2,FALSE)</f>
        <v/>
      </c>
    </row>
    <row r="5063">
      <c r="A5063" t="inlineStr">
        <is>
          <t xml:space="preserve">home owner </t>
        </is>
      </c>
      <c r="B5063">
        <f>VLOOKUP(1394,Requirements!A2:B2967,2,FALSE)</f>
        <v/>
      </c>
    </row>
    <row r="5064">
      <c r="A5064" t="inlineStr">
        <is>
          <t xml:space="preserve">home owner </t>
        </is>
      </c>
      <c r="B5064">
        <f>VLOOKUP(1395,Requirements!A2:B2967,2,FALSE)</f>
        <v/>
      </c>
    </row>
    <row r="5065">
      <c r="A5065" t="inlineStr">
        <is>
          <t xml:space="preserve">home owner </t>
        </is>
      </c>
      <c r="B5065">
        <f>VLOOKUP(1397,Requirements!A2:B2967,2,FALSE)</f>
        <v/>
      </c>
    </row>
    <row r="5066">
      <c r="A5066" t="inlineStr">
        <is>
          <t xml:space="preserve">home owner </t>
        </is>
      </c>
      <c r="B5066">
        <f>VLOOKUP(1401,Requirements!A2:B2967,2,FALSE)</f>
        <v/>
      </c>
    </row>
    <row r="5067">
      <c r="A5067" t="inlineStr">
        <is>
          <t xml:space="preserve">home owner </t>
        </is>
      </c>
      <c r="B5067">
        <f>VLOOKUP(1412,Requirements!A2:B2967,2,FALSE)</f>
        <v/>
      </c>
    </row>
    <row r="5068">
      <c r="A5068" t="inlineStr">
        <is>
          <t xml:space="preserve">home owner </t>
        </is>
      </c>
      <c r="B5068">
        <f>VLOOKUP(1419,Requirements!A2:B2967,2,FALSE)</f>
        <v/>
      </c>
    </row>
    <row r="5069">
      <c r="A5069" t="inlineStr">
        <is>
          <t xml:space="preserve">home owner </t>
        </is>
      </c>
      <c r="B5069">
        <f>VLOOKUP(1422,Requirements!A2:B2967,2,FALSE)</f>
        <v/>
      </c>
    </row>
    <row r="5070">
      <c r="A5070" t="inlineStr">
        <is>
          <t xml:space="preserve">home owner </t>
        </is>
      </c>
      <c r="B5070">
        <f>VLOOKUP(1428,Requirements!A2:B2967,2,FALSE)</f>
        <v/>
      </c>
    </row>
    <row r="5071">
      <c r="A5071" t="inlineStr">
        <is>
          <t xml:space="preserve">home owner </t>
        </is>
      </c>
      <c r="B5071">
        <f>VLOOKUP(1429,Requirements!A2:B2967,2,FALSE)</f>
        <v/>
      </c>
    </row>
    <row r="5072">
      <c r="A5072" t="inlineStr">
        <is>
          <t xml:space="preserve">home owner </t>
        </is>
      </c>
      <c r="B5072">
        <f>VLOOKUP(1434,Requirements!A2:B2967,2,FALSE)</f>
        <v/>
      </c>
    </row>
    <row r="5073">
      <c r="A5073" t="inlineStr">
        <is>
          <t xml:space="preserve">home owner </t>
        </is>
      </c>
      <c r="B5073">
        <f>VLOOKUP(1437,Requirements!A2:B2967,2,FALSE)</f>
        <v/>
      </c>
    </row>
    <row r="5074">
      <c r="A5074" t="inlineStr">
        <is>
          <t xml:space="preserve">home owner </t>
        </is>
      </c>
      <c r="B5074">
        <f>VLOOKUP(1439,Requirements!A2:B2967,2,FALSE)</f>
        <v/>
      </c>
    </row>
    <row r="5075">
      <c r="A5075" t="inlineStr">
        <is>
          <t xml:space="preserve">home owner </t>
        </is>
      </c>
      <c r="B5075">
        <f>VLOOKUP(1440,Requirements!A2:B2967,2,FALSE)</f>
        <v/>
      </c>
    </row>
    <row r="5076">
      <c r="A5076" t="inlineStr">
        <is>
          <t xml:space="preserve">home owner </t>
        </is>
      </c>
      <c r="B5076">
        <f>VLOOKUP(1442,Requirements!A2:B2967,2,FALSE)</f>
        <v/>
      </c>
    </row>
    <row r="5077">
      <c r="A5077" t="inlineStr">
        <is>
          <t xml:space="preserve">home owner </t>
        </is>
      </c>
      <c r="B5077">
        <f>VLOOKUP(1445,Requirements!A2:B2967,2,FALSE)</f>
        <v/>
      </c>
    </row>
    <row r="5078">
      <c r="A5078" t="inlineStr">
        <is>
          <t xml:space="preserve">home owner </t>
        </is>
      </c>
      <c r="B5078">
        <f>VLOOKUP(1446,Requirements!A2:B2967,2,FALSE)</f>
        <v/>
      </c>
    </row>
    <row r="5079">
      <c r="A5079" t="inlineStr">
        <is>
          <t xml:space="preserve">home owner </t>
        </is>
      </c>
      <c r="B5079">
        <f>VLOOKUP(1452,Requirements!A2:B2967,2,FALSE)</f>
        <v/>
      </c>
    </row>
    <row r="5080">
      <c r="A5080" t="inlineStr">
        <is>
          <t xml:space="preserve">home owner </t>
        </is>
      </c>
      <c r="B5080">
        <f>VLOOKUP(1453,Requirements!A2:B2967,2,FALSE)</f>
        <v/>
      </c>
    </row>
    <row r="5081">
      <c r="A5081" t="inlineStr">
        <is>
          <t xml:space="preserve">home owner </t>
        </is>
      </c>
      <c r="B5081">
        <f>VLOOKUP(1455,Requirements!A2:B2967,2,FALSE)</f>
        <v/>
      </c>
    </row>
    <row r="5082">
      <c r="A5082" t="inlineStr">
        <is>
          <t xml:space="preserve">home owner </t>
        </is>
      </c>
      <c r="B5082">
        <f>VLOOKUP(1457,Requirements!A2:B2967,2,FALSE)</f>
        <v/>
      </c>
    </row>
    <row r="5083">
      <c r="A5083" t="inlineStr">
        <is>
          <t xml:space="preserve">home owner </t>
        </is>
      </c>
      <c r="B5083">
        <f>VLOOKUP(1458,Requirements!A2:B2967,2,FALSE)</f>
        <v/>
      </c>
    </row>
    <row r="5084">
      <c r="A5084" t="inlineStr">
        <is>
          <t xml:space="preserve">home owner </t>
        </is>
      </c>
      <c r="B5084">
        <f>VLOOKUP(1459,Requirements!A2:B2967,2,FALSE)</f>
        <v/>
      </c>
    </row>
    <row r="5085">
      <c r="A5085" t="inlineStr">
        <is>
          <t xml:space="preserve">home owner </t>
        </is>
      </c>
      <c r="B5085">
        <f>VLOOKUP(1460,Requirements!A2:B2967,2,FALSE)</f>
        <v/>
      </c>
    </row>
    <row r="5086">
      <c r="A5086" t="inlineStr">
        <is>
          <t xml:space="preserve">home owner </t>
        </is>
      </c>
      <c r="B5086">
        <f>VLOOKUP(1461,Requirements!A2:B2967,2,FALSE)</f>
        <v/>
      </c>
    </row>
    <row r="5087">
      <c r="A5087" t="inlineStr">
        <is>
          <t xml:space="preserve">home owner </t>
        </is>
      </c>
      <c r="B5087">
        <f>VLOOKUP(1462,Requirements!A2:B2967,2,FALSE)</f>
        <v/>
      </c>
    </row>
    <row r="5088">
      <c r="A5088" t="inlineStr">
        <is>
          <t xml:space="preserve">home owner </t>
        </is>
      </c>
      <c r="B5088">
        <f>VLOOKUP(1463,Requirements!A2:B2967,2,FALSE)</f>
        <v/>
      </c>
    </row>
    <row r="5089">
      <c r="A5089" t="inlineStr">
        <is>
          <t xml:space="preserve">home owner </t>
        </is>
      </c>
      <c r="B5089">
        <f>VLOOKUP(1464,Requirements!A2:B2967,2,FALSE)</f>
        <v/>
      </c>
    </row>
    <row r="5090">
      <c r="A5090" t="inlineStr">
        <is>
          <t xml:space="preserve">home owner </t>
        </is>
      </c>
      <c r="B5090">
        <f>VLOOKUP(1465,Requirements!A2:B2967,2,FALSE)</f>
        <v/>
      </c>
    </row>
    <row r="5091">
      <c r="A5091" t="inlineStr">
        <is>
          <t xml:space="preserve">home owner </t>
        </is>
      </c>
      <c r="B5091">
        <f>VLOOKUP(1467,Requirements!A2:B2967,2,FALSE)</f>
        <v/>
      </c>
    </row>
    <row r="5092">
      <c r="A5092" t="inlineStr">
        <is>
          <t xml:space="preserve">home owner </t>
        </is>
      </c>
      <c r="B5092">
        <f>VLOOKUP(1471,Requirements!A2:B2967,2,FALSE)</f>
        <v/>
      </c>
    </row>
    <row r="5093">
      <c r="A5093" t="inlineStr">
        <is>
          <t xml:space="preserve">home owner </t>
        </is>
      </c>
      <c r="B5093">
        <f>VLOOKUP(1472,Requirements!A2:B2967,2,FALSE)</f>
        <v/>
      </c>
    </row>
    <row r="5094">
      <c r="A5094" t="inlineStr">
        <is>
          <t xml:space="preserve">home owner </t>
        </is>
      </c>
      <c r="B5094">
        <f>VLOOKUP(1474,Requirements!A2:B2967,2,FALSE)</f>
        <v/>
      </c>
    </row>
    <row r="5095">
      <c r="A5095" t="inlineStr">
        <is>
          <t xml:space="preserve">home owner </t>
        </is>
      </c>
      <c r="B5095">
        <f>VLOOKUP(1475,Requirements!A2:B2967,2,FALSE)</f>
        <v/>
      </c>
    </row>
    <row r="5096">
      <c r="A5096" t="inlineStr">
        <is>
          <t xml:space="preserve">home owner </t>
        </is>
      </c>
      <c r="B5096">
        <f>VLOOKUP(1476,Requirements!A2:B2967,2,FALSE)</f>
        <v/>
      </c>
    </row>
    <row r="5097">
      <c r="A5097" t="inlineStr">
        <is>
          <t xml:space="preserve">home owner </t>
        </is>
      </c>
      <c r="B5097">
        <f>VLOOKUP(1480,Requirements!A2:B2967,2,FALSE)</f>
        <v/>
      </c>
    </row>
    <row r="5098">
      <c r="A5098" t="inlineStr">
        <is>
          <t xml:space="preserve">home owner </t>
        </is>
      </c>
      <c r="B5098">
        <f>VLOOKUP(1483,Requirements!A2:B2967,2,FALSE)</f>
        <v/>
      </c>
    </row>
    <row r="5099">
      <c r="A5099" t="inlineStr">
        <is>
          <t xml:space="preserve">home owner </t>
        </is>
      </c>
      <c r="B5099">
        <f>VLOOKUP(1486,Requirements!A2:B2967,2,FALSE)</f>
        <v/>
      </c>
    </row>
    <row r="5100">
      <c r="A5100" t="inlineStr">
        <is>
          <t xml:space="preserve">home owner </t>
        </is>
      </c>
      <c r="B5100">
        <f>VLOOKUP(1496,Requirements!A2:B2967,2,FALSE)</f>
        <v/>
      </c>
    </row>
    <row r="5101">
      <c r="A5101" t="inlineStr">
        <is>
          <t xml:space="preserve">home owner </t>
        </is>
      </c>
      <c r="B5101">
        <f>VLOOKUP(1503,Requirements!A2:B2967,2,FALSE)</f>
        <v/>
      </c>
    </row>
    <row r="5102">
      <c r="A5102" t="inlineStr">
        <is>
          <t xml:space="preserve">home owner </t>
        </is>
      </c>
      <c r="B5102">
        <f>VLOOKUP(1504,Requirements!A2:B2967,2,FALSE)</f>
        <v/>
      </c>
    </row>
    <row r="5103">
      <c r="A5103" t="inlineStr">
        <is>
          <t xml:space="preserve">home owner </t>
        </is>
      </c>
      <c r="B5103">
        <f>VLOOKUP(1507,Requirements!A2:B2967,2,FALSE)</f>
        <v/>
      </c>
    </row>
    <row r="5104">
      <c r="A5104" t="inlineStr">
        <is>
          <t xml:space="preserve">home owner </t>
        </is>
      </c>
      <c r="B5104">
        <f>VLOOKUP(1508,Requirements!A2:B2967,2,FALSE)</f>
        <v/>
      </c>
    </row>
    <row r="5105">
      <c r="A5105" t="inlineStr">
        <is>
          <t xml:space="preserve">home owner </t>
        </is>
      </c>
      <c r="B5105">
        <f>VLOOKUP(1517,Requirements!A2:B2967,2,FALSE)</f>
        <v/>
      </c>
    </row>
    <row r="5106">
      <c r="A5106" t="inlineStr">
        <is>
          <t xml:space="preserve">home owner </t>
        </is>
      </c>
      <c r="B5106">
        <f>VLOOKUP(1521,Requirements!A2:B2967,2,FALSE)</f>
        <v/>
      </c>
    </row>
    <row r="5107">
      <c r="A5107" t="inlineStr">
        <is>
          <t xml:space="preserve">home owner </t>
        </is>
      </c>
      <c r="B5107">
        <f>VLOOKUP(1525,Requirements!A2:B2967,2,FALSE)</f>
        <v/>
      </c>
    </row>
    <row r="5108">
      <c r="A5108" t="inlineStr">
        <is>
          <t xml:space="preserve">home owner </t>
        </is>
      </c>
      <c r="B5108">
        <f>VLOOKUP(1533,Requirements!A2:B2967,2,FALSE)</f>
        <v/>
      </c>
    </row>
    <row r="5109">
      <c r="A5109" t="inlineStr">
        <is>
          <t xml:space="preserve">home owner </t>
        </is>
      </c>
      <c r="B5109">
        <f>VLOOKUP(1540,Requirements!A2:B2967,2,FALSE)</f>
        <v/>
      </c>
    </row>
    <row r="5110">
      <c r="A5110" t="inlineStr">
        <is>
          <t xml:space="preserve">home owner </t>
        </is>
      </c>
      <c r="B5110">
        <f>VLOOKUP(1541,Requirements!A2:B2967,2,FALSE)</f>
        <v/>
      </c>
    </row>
    <row r="5111">
      <c r="A5111" t="inlineStr">
        <is>
          <t xml:space="preserve">home owner </t>
        </is>
      </c>
      <c r="B5111">
        <f>VLOOKUP(1553,Requirements!A2:B2967,2,FALSE)</f>
        <v/>
      </c>
    </row>
    <row r="5112">
      <c r="A5112" t="inlineStr">
        <is>
          <t xml:space="preserve">home owner </t>
        </is>
      </c>
      <c r="B5112">
        <f>VLOOKUP(1561,Requirements!A2:B2967,2,FALSE)</f>
        <v/>
      </c>
    </row>
    <row r="5113">
      <c r="A5113" t="inlineStr">
        <is>
          <t xml:space="preserve">home owner </t>
        </is>
      </c>
      <c r="B5113">
        <f>VLOOKUP(1563,Requirements!A2:B2967,2,FALSE)</f>
        <v/>
      </c>
    </row>
    <row r="5114">
      <c r="A5114" t="inlineStr">
        <is>
          <t xml:space="preserve">home owner </t>
        </is>
      </c>
      <c r="B5114">
        <f>VLOOKUP(1570,Requirements!A2:B2967,2,FALSE)</f>
        <v/>
      </c>
    </row>
    <row r="5115">
      <c r="A5115" t="inlineStr">
        <is>
          <t xml:space="preserve">home owner </t>
        </is>
      </c>
      <c r="B5115">
        <f>VLOOKUP(1571,Requirements!A2:B2967,2,FALSE)</f>
        <v/>
      </c>
    </row>
    <row r="5116">
      <c r="A5116" t="inlineStr">
        <is>
          <t xml:space="preserve">home owner </t>
        </is>
      </c>
      <c r="B5116">
        <f>VLOOKUP(1573,Requirements!A2:B2967,2,FALSE)</f>
        <v/>
      </c>
    </row>
    <row r="5117">
      <c r="A5117" t="inlineStr">
        <is>
          <t xml:space="preserve">home owner </t>
        </is>
      </c>
      <c r="B5117">
        <f>VLOOKUP(1578,Requirements!A2:B2967,2,FALSE)</f>
        <v/>
      </c>
    </row>
    <row r="5118">
      <c r="A5118" t="inlineStr">
        <is>
          <t xml:space="preserve">home owner </t>
        </is>
      </c>
      <c r="B5118">
        <f>VLOOKUP(1581,Requirements!A2:B2967,2,FALSE)</f>
        <v/>
      </c>
    </row>
    <row r="5119">
      <c r="A5119" t="inlineStr">
        <is>
          <t xml:space="preserve">home owner </t>
        </is>
      </c>
      <c r="B5119">
        <f>VLOOKUP(1584,Requirements!A2:B2967,2,FALSE)</f>
        <v/>
      </c>
    </row>
    <row r="5120">
      <c r="A5120" t="inlineStr">
        <is>
          <t xml:space="preserve">home owner </t>
        </is>
      </c>
      <c r="B5120">
        <f>VLOOKUP(1585,Requirements!A2:B2967,2,FALSE)</f>
        <v/>
      </c>
    </row>
    <row r="5121">
      <c r="A5121" t="inlineStr">
        <is>
          <t xml:space="preserve">home owner </t>
        </is>
      </c>
      <c r="B5121">
        <f>VLOOKUP(1595,Requirements!A2:B2967,2,FALSE)</f>
        <v/>
      </c>
    </row>
    <row r="5122">
      <c r="A5122" t="inlineStr">
        <is>
          <t xml:space="preserve">home owner </t>
        </is>
      </c>
      <c r="B5122">
        <f>VLOOKUP(1605,Requirements!A2:B2967,2,FALSE)</f>
        <v/>
      </c>
    </row>
    <row r="5123">
      <c r="A5123" t="inlineStr">
        <is>
          <t xml:space="preserve">home owner </t>
        </is>
      </c>
      <c r="B5123">
        <f>VLOOKUP(1608,Requirements!A2:B2967,2,FALSE)</f>
        <v/>
      </c>
    </row>
    <row r="5124">
      <c r="A5124" t="inlineStr">
        <is>
          <t xml:space="preserve">home owner </t>
        </is>
      </c>
      <c r="B5124">
        <f>VLOOKUP(1611,Requirements!A2:B2967,2,FALSE)</f>
        <v/>
      </c>
    </row>
    <row r="5125">
      <c r="A5125" t="inlineStr">
        <is>
          <t xml:space="preserve">home owner </t>
        </is>
      </c>
      <c r="B5125">
        <f>VLOOKUP(1615,Requirements!A2:B2967,2,FALSE)</f>
        <v/>
      </c>
    </row>
    <row r="5126">
      <c r="A5126" t="inlineStr">
        <is>
          <t xml:space="preserve">home owner </t>
        </is>
      </c>
      <c r="B5126">
        <f>VLOOKUP(1617,Requirements!A2:B2967,2,FALSE)</f>
        <v/>
      </c>
    </row>
    <row r="5127">
      <c r="A5127" t="inlineStr">
        <is>
          <t xml:space="preserve">home owner </t>
        </is>
      </c>
      <c r="B5127">
        <f>VLOOKUP(1674,Requirements!A2:B2967,2,FALSE)</f>
        <v/>
      </c>
    </row>
    <row r="5128">
      <c r="A5128" t="inlineStr">
        <is>
          <t xml:space="preserve">home owner </t>
        </is>
      </c>
      <c r="B5128">
        <f>VLOOKUP(1676,Requirements!A2:B2967,2,FALSE)</f>
        <v/>
      </c>
    </row>
    <row r="5129">
      <c r="A5129" t="inlineStr">
        <is>
          <t xml:space="preserve">home owner </t>
        </is>
      </c>
      <c r="B5129">
        <f>VLOOKUP(1701,Requirements!A2:B2967,2,FALSE)</f>
        <v/>
      </c>
    </row>
    <row r="5130">
      <c r="A5130" t="inlineStr">
        <is>
          <t xml:space="preserve">home owner </t>
        </is>
      </c>
      <c r="B5130">
        <f>VLOOKUP(1704,Requirements!A2:B2967,2,FALSE)</f>
        <v/>
      </c>
    </row>
    <row r="5131">
      <c r="A5131" t="inlineStr">
        <is>
          <t xml:space="preserve">home owner </t>
        </is>
      </c>
      <c r="B5131">
        <f>VLOOKUP(1729,Requirements!A2:B2967,2,FALSE)</f>
        <v/>
      </c>
    </row>
    <row r="5132">
      <c r="A5132" t="inlineStr">
        <is>
          <t xml:space="preserve">home owner </t>
        </is>
      </c>
      <c r="B5132">
        <f>VLOOKUP(1735,Requirements!A2:B2967,2,FALSE)</f>
        <v/>
      </c>
    </row>
    <row r="5133">
      <c r="A5133" t="inlineStr">
        <is>
          <t xml:space="preserve">home owner </t>
        </is>
      </c>
      <c r="B5133">
        <f>VLOOKUP(1737,Requirements!A2:B2967,2,FALSE)</f>
        <v/>
      </c>
    </row>
    <row r="5134">
      <c r="A5134" t="inlineStr">
        <is>
          <t xml:space="preserve">home owner </t>
        </is>
      </c>
      <c r="B5134">
        <f>VLOOKUP(1749,Requirements!A2:B2967,2,FALSE)</f>
        <v/>
      </c>
    </row>
    <row r="5135">
      <c r="A5135" t="inlineStr">
        <is>
          <t xml:space="preserve">home owner </t>
        </is>
      </c>
      <c r="B5135">
        <f>VLOOKUP(1754,Requirements!A2:B2967,2,FALSE)</f>
        <v/>
      </c>
    </row>
    <row r="5136">
      <c r="A5136" t="inlineStr">
        <is>
          <t xml:space="preserve">home owner </t>
        </is>
      </c>
      <c r="B5136">
        <f>VLOOKUP(1763,Requirements!A2:B2967,2,FALSE)</f>
        <v/>
      </c>
    </row>
    <row r="5137">
      <c r="A5137" t="inlineStr">
        <is>
          <t xml:space="preserve">home owner </t>
        </is>
      </c>
      <c r="B5137">
        <f>VLOOKUP(1771,Requirements!A2:B2967,2,FALSE)</f>
        <v/>
      </c>
    </row>
    <row r="5138">
      <c r="A5138" t="inlineStr">
        <is>
          <t xml:space="preserve">home owner </t>
        </is>
      </c>
      <c r="B5138">
        <f>VLOOKUP(1775,Requirements!A2:B2967,2,FALSE)</f>
        <v/>
      </c>
    </row>
    <row r="5139">
      <c r="A5139" t="inlineStr">
        <is>
          <t xml:space="preserve">home owner </t>
        </is>
      </c>
      <c r="B5139">
        <f>VLOOKUP(1779,Requirements!A2:B2967,2,FALSE)</f>
        <v/>
      </c>
    </row>
    <row r="5140">
      <c r="A5140" t="inlineStr">
        <is>
          <t xml:space="preserve">home owner </t>
        </is>
      </c>
      <c r="B5140">
        <f>VLOOKUP(1783,Requirements!A2:B2967,2,FALSE)</f>
        <v/>
      </c>
    </row>
    <row r="5141">
      <c r="A5141" t="inlineStr">
        <is>
          <t xml:space="preserve">home owner </t>
        </is>
      </c>
      <c r="B5141">
        <f>VLOOKUP(1788,Requirements!A2:B2967,2,FALSE)</f>
        <v/>
      </c>
    </row>
    <row r="5142">
      <c r="A5142" t="inlineStr">
        <is>
          <t xml:space="preserve">home owner </t>
        </is>
      </c>
      <c r="B5142">
        <f>VLOOKUP(1792,Requirements!A2:B2967,2,FALSE)</f>
        <v/>
      </c>
    </row>
    <row r="5143">
      <c r="A5143" t="inlineStr">
        <is>
          <t xml:space="preserve">home owner </t>
        </is>
      </c>
      <c r="B5143">
        <f>VLOOKUP(1794,Requirements!A2:B2967,2,FALSE)</f>
        <v/>
      </c>
    </row>
    <row r="5144">
      <c r="A5144" t="inlineStr">
        <is>
          <t xml:space="preserve">home owner </t>
        </is>
      </c>
      <c r="B5144">
        <f>VLOOKUP(1797,Requirements!A2:B2967,2,FALSE)</f>
        <v/>
      </c>
    </row>
    <row r="5145">
      <c r="A5145" t="inlineStr">
        <is>
          <t xml:space="preserve">home owner </t>
        </is>
      </c>
      <c r="B5145">
        <f>VLOOKUP(1800,Requirements!A2:B2967,2,FALSE)</f>
        <v/>
      </c>
    </row>
    <row r="5146">
      <c r="A5146" t="inlineStr">
        <is>
          <t xml:space="preserve">home owner </t>
        </is>
      </c>
      <c r="B5146">
        <f>VLOOKUP(1803,Requirements!A2:B2967,2,FALSE)</f>
        <v/>
      </c>
    </row>
    <row r="5147">
      <c r="A5147" t="inlineStr">
        <is>
          <t xml:space="preserve">home owner </t>
        </is>
      </c>
      <c r="B5147">
        <f>VLOOKUP(1806,Requirements!A2:B2967,2,FALSE)</f>
        <v/>
      </c>
    </row>
    <row r="5148">
      <c r="A5148" t="inlineStr">
        <is>
          <t xml:space="preserve">home owner </t>
        </is>
      </c>
      <c r="B5148">
        <f>VLOOKUP(1808,Requirements!A2:B2967,2,FALSE)</f>
        <v/>
      </c>
    </row>
    <row r="5149">
      <c r="A5149" t="inlineStr">
        <is>
          <t xml:space="preserve">home owner </t>
        </is>
      </c>
      <c r="B5149">
        <f>VLOOKUP(1819,Requirements!A2:B2967,2,FALSE)</f>
        <v/>
      </c>
    </row>
    <row r="5150">
      <c r="A5150" t="inlineStr">
        <is>
          <t xml:space="preserve">home owner </t>
        </is>
      </c>
      <c r="B5150">
        <f>VLOOKUP(1821,Requirements!A2:B2967,2,FALSE)</f>
        <v/>
      </c>
    </row>
    <row r="5151">
      <c r="A5151" t="inlineStr">
        <is>
          <t xml:space="preserve">home owner </t>
        </is>
      </c>
      <c r="B5151">
        <f>VLOOKUP(1830,Requirements!A2:B2967,2,FALSE)</f>
        <v/>
      </c>
    </row>
    <row r="5152">
      <c r="A5152" t="inlineStr">
        <is>
          <t xml:space="preserve">home owner </t>
        </is>
      </c>
      <c r="B5152">
        <f>VLOOKUP(1832,Requirements!A2:B2967,2,FALSE)</f>
        <v/>
      </c>
    </row>
    <row r="5153">
      <c r="A5153" t="inlineStr">
        <is>
          <t xml:space="preserve">home owner </t>
        </is>
      </c>
      <c r="B5153">
        <f>VLOOKUP(1833,Requirements!A2:B2967,2,FALSE)</f>
        <v/>
      </c>
    </row>
    <row r="5154">
      <c r="A5154" t="inlineStr">
        <is>
          <t xml:space="preserve">home owner </t>
        </is>
      </c>
      <c r="B5154">
        <f>VLOOKUP(1841,Requirements!A2:B2967,2,FALSE)</f>
        <v/>
      </c>
    </row>
    <row r="5155">
      <c r="A5155" t="inlineStr">
        <is>
          <t xml:space="preserve">home owner </t>
        </is>
      </c>
      <c r="B5155">
        <f>VLOOKUP(1846,Requirements!A2:B2967,2,FALSE)</f>
        <v/>
      </c>
    </row>
    <row r="5156">
      <c r="A5156" t="inlineStr">
        <is>
          <t xml:space="preserve">home owner </t>
        </is>
      </c>
      <c r="B5156">
        <f>VLOOKUP(1847,Requirements!A2:B2967,2,FALSE)</f>
        <v/>
      </c>
    </row>
    <row r="5157">
      <c r="A5157" t="inlineStr">
        <is>
          <t xml:space="preserve">home owner </t>
        </is>
      </c>
      <c r="B5157">
        <f>VLOOKUP(1849,Requirements!A2:B2967,2,FALSE)</f>
        <v/>
      </c>
    </row>
    <row r="5158">
      <c r="A5158" t="inlineStr">
        <is>
          <t xml:space="preserve">home owner </t>
        </is>
      </c>
      <c r="B5158">
        <f>VLOOKUP(1850,Requirements!A2:B2967,2,FALSE)</f>
        <v/>
      </c>
    </row>
    <row r="5159">
      <c r="A5159" t="inlineStr">
        <is>
          <t xml:space="preserve">home owner </t>
        </is>
      </c>
      <c r="B5159">
        <f>VLOOKUP(1859,Requirements!A2:B2967,2,FALSE)</f>
        <v/>
      </c>
    </row>
    <row r="5160">
      <c r="A5160" t="inlineStr">
        <is>
          <t xml:space="preserve">home owner </t>
        </is>
      </c>
      <c r="B5160">
        <f>VLOOKUP(1874,Requirements!A2:B2967,2,FALSE)</f>
        <v/>
      </c>
    </row>
    <row r="5161">
      <c r="A5161" t="inlineStr">
        <is>
          <t xml:space="preserve">home owner </t>
        </is>
      </c>
      <c r="B5161">
        <f>VLOOKUP(1876,Requirements!A2:B2967,2,FALSE)</f>
        <v/>
      </c>
    </row>
    <row r="5162">
      <c r="A5162" t="inlineStr">
        <is>
          <t xml:space="preserve">home owner </t>
        </is>
      </c>
      <c r="B5162">
        <f>VLOOKUP(1877,Requirements!A2:B2967,2,FALSE)</f>
        <v/>
      </c>
    </row>
    <row r="5163">
      <c r="A5163" t="inlineStr">
        <is>
          <t xml:space="preserve">home owner </t>
        </is>
      </c>
      <c r="B5163">
        <f>VLOOKUP(1878,Requirements!A2:B2967,2,FALSE)</f>
        <v/>
      </c>
    </row>
    <row r="5164">
      <c r="A5164" t="inlineStr">
        <is>
          <t xml:space="preserve">home owner </t>
        </is>
      </c>
      <c r="B5164">
        <f>VLOOKUP(1880,Requirements!A2:B2967,2,FALSE)</f>
        <v/>
      </c>
    </row>
    <row r="5165">
      <c r="A5165" t="inlineStr">
        <is>
          <t xml:space="preserve">home owner </t>
        </is>
      </c>
      <c r="B5165">
        <f>VLOOKUP(1881,Requirements!A2:B2967,2,FALSE)</f>
        <v/>
      </c>
    </row>
    <row r="5166">
      <c r="A5166" t="inlineStr">
        <is>
          <t xml:space="preserve">home owner </t>
        </is>
      </c>
      <c r="B5166">
        <f>VLOOKUP(1882,Requirements!A2:B2967,2,FALSE)</f>
        <v/>
      </c>
    </row>
    <row r="5167">
      <c r="A5167" t="inlineStr">
        <is>
          <t xml:space="preserve">home owner </t>
        </is>
      </c>
      <c r="B5167">
        <f>VLOOKUP(1885,Requirements!A2:B2967,2,FALSE)</f>
        <v/>
      </c>
    </row>
    <row r="5168">
      <c r="A5168" t="inlineStr">
        <is>
          <t xml:space="preserve">home owner </t>
        </is>
      </c>
      <c r="B5168">
        <f>VLOOKUP(1886,Requirements!A2:B2967,2,FALSE)</f>
        <v/>
      </c>
    </row>
    <row r="5169">
      <c r="A5169" t="inlineStr">
        <is>
          <t xml:space="preserve">home owner </t>
        </is>
      </c>
      <c r="B5169">
        <f>VLOOKUP(1891,Requirements!A2:B2967,2,FALSE)</f>
        <v/>
      </c>
    </row>
    <row r="5170">
      <c r="A5170" t="inlineStr">
        <is>
          <t xml:space="preserve">home owner </t>
        </is>
      </c>
      <c r="B5170">
        <f>VLOOKUP(1892,Requirements!A2:B2967,2,FALSE)</f>
        <v/>
      </c>
    </row>
    <row r="5171">
      <c r="A5171" t="inlineStr">
        <is>
          <t xml:space="preserve">home owner </t>
        </is>
      </c>
      <c r="B5171">
        <f>VLOOKUP(1895,Requirements!A2:B2967,2,FALSE)</f>
        <v/>
      </c>
    </row>
    <row r="5172">
      <c r="A5172" t="inlineStr">
        <is>
          <t xml:space="preserve">home owner </t>
        </is>
      </c>
      <c r="B5172">
        <f>VLOOKUP(1898,Requirements!A2:B2967,2,FALSE)</f>
        <v/>
      </c>
    </row>
    <row r="5173">
      <c r="A5173" t="inlineStr">
        <is>
          <t xml:space="preserve">home owner </t>
        </is>
      </c>
      <c r="B5173">
        <f>VLOOKUP(1899,Requirements!A2:B2967,2,FALSE)</f>
        <v/>
      </c>
    </row>
    <row r="5174">
      <c r="A5174" t="inlineStr">
        <is>
          <t xml:space="preserve">home owner </t>
        </is>
      </c>
      <c r="B5174">
        <f>VLOOKUP(1900,Requirements!A2:B2967,2,FALSE)</f>
        <v/>
      </c>
    </row>
    <row r="5175">
      <c r="A5175" t="inlineStr">
        <is>
          <t xml:space="preserve">home owner </t>
        </is>
      </c>
      <c r="B5175">
        <f>VLOOKUP(1901,Requirements!A2:B2967,2,FALSE)</f>
        <v/>
      </c>
    </row>
    <row r="5176">
      <c r="A5176" t="inlineStr">
        <is>
          <t xml:space="preserve">home owner </t>
        </is>
      </c>
      <c r="B5176">
        <f>VLOOKUP(1902,Requirements!A2:B2967,2,FALSE)</f>
        <v/>
      </c>
    </row>
    <row r="5177">
      <c r="A5177" t="inlineStr">
        <is>
          <t xml:space="preserve">home owner </t>
        </is>
      </c>
      <c r="B5177">
        <f>VLOOKUP(1903,Requirements!A2:B2967,2,FALSE)</f>
        <v/>
      </c>
    </row>
    <row r="5178">
      <c r="A5178" t="inlineStr">
        <is>
          <t xml:space="preserve">home owner </t>
        </is>
      </c>
      <c r="B5178">
        <f>VLOOKUP(1904,Requirements!A2:B2967,2,FALSE)</f>
        <v/>
      </c>
    </row>
    <row r="5179">
      <c r="A5179" t="inlineStr">
        <is>
          <t xml:space="preserve">home owner </t>
        </is>
      </c>
      <c r="B5179">
        <f>VLOOKUP(1936,Requirements!A2:B2967,2,FALSE)</f>
        <v/>
      </c>
    </row>
    <row r="5180">
      <c r="A5180" t="inlineStr">
        <is>
          <t xml:space="preserve">home owner </t>
        </is>
      </c>
      <c r="B5180">
        <f>VLOOKUP(1937,Requirements!A2:B2967,2,FALSE)</f>
        <v/>
      </c>
    </row>
    <row r="5181">
      <c r="A5181" t="inlineStr">
        <is>
          <t xml:space="preserve">home owner </t>
        </is>
      </c>
      <c r="B5181">
        <f>VLOOKUP(1939,Requirements!A2:B2967,2,FALSE)</f>
        <v/>
      </c>
    </row>
    <row r="5182">
      <c r="A5182" t="inlineStr">
        <is>
          <t xml:space="preserve">home owner </t>
        </is>
      </c>
      <c r="B5182">
        <f>VLOOKUP(1940,Requirements!A2:B2967,2,FALSE)</f>
        <v/>
      </c>
    </row>
    <row r="5183">
      <c r="A5183" t="inlineStr">
        <is>
          <t xml:space="preserve">home owner </t>
        </is>
      </c>
      <c r="B5183">
        <f>VLOOKUP(1941,Requirements!A2:B2967,2,FALSE)</f>
        <v/>
      </c>
    </row>
    <row r="5184">
      <c r="A5184" t="inlineStr">
        <is>
          <t xml:space="preserve">home owner </t>
        </is>
      </c>
      <c r="B5184">
        <f>VLOOKUP(1942,Requirements!A2:B2967,2,FALSE)</f>
        <v/>
      </c>
    </row>
    <row r="5185">
      <c r="A5185" t="inlineStr">
        <is>
          <t xml:space="preserve">home owner </t>
        </is>
      </c>
      <c r="B5185">
        <f>VLOOKUP(1943,Requirements!A2:B2967,2,FALSE)</f>
        <v/>
      </c>
    </row>
    <row r="5186">
      <c r="A5186" t="inlineStr">
        <is>
          <t xml:space="preserve">home owner </t>
        </is>
      </c>
      <c r="B5186">
        <f>VLOOKUP(1948,Requirements!A2:B2967,2,FALSE)</f>
        <v/>
      </c>
    </row>
    <row r="5187">
      <c r="A5187" t="inlineStr">
        <is>
          <t xml:space="preserve">home owner </t>
        </is>
      </c>
      <c r="B5187">
        <f>VLOOKUP(1954,Requirements!A2:B2967,2,FALSE)</f>
        <v/>
      </c>
    </row>
    <row r="5188">
      <c r="A5188" t="inlineStr">
        <is>
          <t xml:space="preserve">home owner </t>
        </is>
      </c>
      <c r="B5188">
        <f>VLOOKUP(1958,Requirements!A2:B2967,2,FALSE)</f>
        <v/>
      </c>
    </row>
    <row r="5189">
      <c r="A5189" t="inlineStr">
        <is>
          <t xml:space="preserve">home owner </t>
        </is>
      </c>
      <c r="B5189">
        <f>VLOOKUP(1987,Requirements!A2:B2967,2,FALSE)</f>
        <v/>
      </c>
    </row>
    <row r="5190">
      <c r="A5190" t="inlineStr">
        <is>
          <t xml:space="preserve">home owner </t>
        </is>
      </c>
      <c r="B5190">
        <f>VLOOKUP(1994,Requirements!A2:B2967,2,FALSE)</f>
        <v/>
      </c>
    </row>
    <row r="5191">
      <c r="A5191" t="inlineStr">
        <is>
          <t xml:space="preserve">home owner </t>
        </is>
      </c>
      <c r="B5191">
        <f>VLOOKUP(2002,Requirements!A2:B2967,2,FALSE)</f>
        <v/>
      </c>
    </row>
    <row r="5192">
      <c r="A5192" t="inlineStr">
        <is>
          <t xml:space="preserve">home owner </t>
        </is>
      </c>
      <c r="B5192">
        <f>VLOOKUP(2004,Requirements!A2:B2967,2,FALSE)</f>
        <v/>
      </c>
    </row>
    <row r="5193">
      <c r="A5193" t="inlineStr">
        <is>
          <t xml:space="preserve">home owner </t>
        </is>
      </c>
      <c r="B5193">
        <f>VLOOKUP(2010,Requirements!A2:B2967,2,FALSE)</f>
        <v/>
      </c>
    </row>
    <row r="5194">
      <c r="A5194" t="inlineStr">
        <is>
          <t xml:space="preserve">home owner </t>
        </is>
      </c>
      <c r="B5194">
        <f>VLOOKUP(2021,Requirements!A2:B2967,2,FALSE)</f>
        <v/>
      </c>
    </row>
    <row r="5195">
      <c r="A5195" t="inlineStr">
        <is>
          <t xml:space="preserve">home owner </t>
        </is>
      </c>
      <c r="B5195">
        <f>VLOOKUP(2031,Requirements!A2:B2967,2,FALSE)</f>
        <v/>
      </c>
    </row>
    <row r="5196">
      <c r="A5196" t="inlineStr">
        <is>
          <t xml:space="preserve">home owner </t>
        </is>
      </c>
      <c r="B5196">
        <f>VLOOKUP(2036,Requirements!A2:B2967,2,FALSE)</f>
        <v/>
      </c>
    </row>
    <row r="5197">
      <c r="A5197" t="inlineStr">
        <is>
          <t xml:space="preserve">home owner </t>
        </is>
      </c>
      <c r="B5197">
        <f>VLOOKUP(2037,Requirements!A2:B2967,2,FALSE)</f>
        <v/>
      </c>
    </row>
    <row r="5198">
      <c r="A5198" t="inlineStr">
        <is>
          <t xml:space="preserve">home owner </t>
        </is>
      </c>
      <c r="B5198">
        <f>VLOOKUP(2041,Requirements!A2:B2967,2,FALSE)</f>
        <v/>
      </c>
    </row>
    <row r="5199">
      <c r="A5199" t="inlineStr">
        <is>
          <t xml:space="preserve">home owner </t>
        </is>
      </c>
      <c r="B5199">
        <f>VLOOKUP(2044,Requirements!A2:B2967,2,FALSE)</f>
        <v/>
      </c>
    </row>
    <row r="5200">
      <c r="A5200" t="inlineStr">
        <is>
          <t xml:space="preserve">home owner </t>
        </is>
      </c>
      <c r="B5200">
        <f>VLOOKUP(2050,Requirements!A2:B2967,2,FALSE)</f>
        <v/>
      </c>
    </row>
    <row r="5201">
      <c r="A5201" t="inlineStr">
        <is>
          <t xml:space="preserve">home owner </t>
        </is>
      </c>
      <c r="B5201">
        <f>VLOOKUP(2051,Requirements!A2:B2967,2,FALSE)</f>
        <v/>
      </c>
    </row>
    <row r="5202">
      <c r="A5202" t="inlineStr">
        <is>
          <t xml:space="preserve">home owner </t>
        </is>
      </c>
      <c r="B5202">
        <f>VLOOKUP(2055,Requirements!A2:B2967,2,FALSE)</f>
        <v/>
      </c>
    </row>
    <row r="5203">
      <c r="A5203" t="inlineStr">
        <is>
          <t xml:space="preserve">home owner </t>
        </is>
      </c>
      <c r="B5203">
        <f>VLOOKUP(2063,Requirements!A2:B2967,2,FALSE)</f>
        <v/>
      </c>
    </row>
    <row r="5204">
      <c r="A5204" t="inlineStr">
        <is>
          <t xml:space="preserve">home owner </t>
        </is>
      </c>
      <c r="B5204">
        <f>VLOOKUP(2066,Requirements!A2:B2967,2,FALSE)</f>
        <v/>
      </c>
    </row>
    <row r="5205">
      <c r="A5205" t="inlineStr">
        <is>
          <t xml:space="preserve">home owner </t>
        </is>
      </c>
      <c r="B5205">
        <f>VLOOKUP(2076,Requirements!A2:B2967,2,FALSE)</f>
        <v/>
      </c>
    </row>
    <row r="5206">
      <c r="A5206" t="inlineStr">
        <is>
          <t xml:space="preserve">home owner </t>
        </is>
      </c>
      <c r="B5206">
        <f>VLOOKUP(2079,Requirements!A2:B2967,2,FALSE)</f>
        <v/>
      </c>
    </row>
    <row r="5207">
      <c r="A5207" t="inlineStr">
        <is>
          <t xml:space="preserve">home owner </t>
        </is>
      </c>
      <c r="B5207">
        <f>VLOOKUP(2084,Requirements!A2:B2967,2,FALSE)</f>
        <v/>
      </c>
    </row>
    <row r="5208">
      <c r="A5208" t="inlineStr">
        <is>
          <t xml:space="preserve">home owner </t>
        </is>
      </c>
      <c r="B5208">
        <f>VLOOKUP(2086,Requirements!A2:B2967,2,FALSE)</f>
        <v/>
      </c>
    </row>
    <row r="5209">
      <c r="A5209" t="inlineStr">
        <is>
          <t xml:space="preserve">home owner </t>
        </is>
      </c>
      <c r="B5209">
        <f>VLOOKUP(2090,Requirements!A2:B2967,2,FALSE)</f>
        <v/>
      </c>
    </row>
    <row r="5210">
      <c r="A5210" t="inlineStr">
        <is>
          <t xml:space="preserve">home owner </t>
        </is>
      </c>
      <c r="B5210">
        <f>VLOOKUP(2092,Requirements!A2:B2967,2,FALSE)</f>
        <v/>
      </c>
    </row>
    <row r="5211">
      <c r="A5211" t="inlineStr">
        <is>
          <t xml:space="preserve">home owner </t>
        </is>
      </c>
      <c r="B5211">
        <f>VLOOKUP(2095,Requirements!A2:B2967,2,FALSE)</f>
        <v/>
      </c>
    </row>
    <row r="5212">
      <c r="A5212" t="inlineStr">
        <is>
          <t xml:space="preserve">home owner </t>
        </is>
      </c>
      <c r="B5212">
        <f>VLOOKUP(2098,Requirements!A2:B2967,2,FALSE)</f>
        <v/>
      </c>
    </row>
    <row r="5213">
      <c r="A5213" t="inlineStr">
        <is>
          <t xml:space="preserve">home owner </t>
        </is>
      </c>
      <c r="B5213">
        <f>VLOOKUP(2100,Requirements!A2:B2967,2,FALSE)</f>
        <v/>
      </c>
    </row>
    <row r="5214">
      <c r="A5214" t="inlineStr">
        <is>
          <t xml:space="preserve">home owner </t>
        </is>
      </c>
      <c r="B5214">
        <f>VLOOKUP(2102,Requirements!A2:B2967,2,FALSE)</f>
        <v/>
      </c>
    </row>
    <row r="5215">
      <c r="A5215" t="inlineStr">
        <is>
          <t xml:space="preserve">home owner </t>
        </is>
      </c>
      <c r="B5215">
        <f>VLOOKUP(2103,Requirements!A2:B2967,2,FALSE)</f>
        <v/>
      </c>
    </row>
    <row r="5216">
      <c r="A5216" t="inlineStr">
        <is>
          <t xml:space="preserve">home owner </t>
        </is>
      </c>
      <c r="B5216">
        <f>VLOOKUP(2104,Requirements!A2:B2967,2,FALSE)</f>
        <v/>
      </c>
    </row>
    <row r="5217">
      <c r="A5217" t="inlineStr">
        <is>
          <t xml:space="preserve">home owner </t>
        </is>
      </c>
      <c r="B5217">
        <f>VLOOKUP(2105,Requirements!A2:B2967,2,FALSE)</f>
        <v/>
      </c>
    </row>
    <row r="5218">
      <c r="A5218" t="inlineStr">
        <is>
          <t xml:space="preserve">home owner </t>
        </is>
      </c>
      <c r="B5218">
        <f>VLOOKUP(2107,Requirements!A2:B2967,2,FALSE)</f>
        <v/>
      </c>
    </row>
    <row r="5219">
      <c r="A5219" t="inlineStr">
        <is>
          <t xml:space="preserve">home owner </t>
        </is>
      </c>
      <c r="B5219">
        <f>VLOOKUP(2108,Requirements!A2:B2967,2,FALSE)</f>
        <v/>
      </c>
    </row>
    <row r="5220">
      <c r="A5220" t="inlineStr">
        <is>
          <t xml:space="preserve">home owner </t>
        </is>
      </c>
      <c r="B5220">
        <f>VLOOKUP(2109,Requirements!A2:B2967,2,FALSE)</f>
        <v/>
      </c>
    </row>
    <row r="5221">
      <c r="A5221" t="inlineStr">
        <is>
          <t xml:space="preserve">home owner </t>
        </is>
      </c>
      <c r="B5221">
        <f>VLOOKUP(2110,Requirements!A2:B2967,2,FALSE)</f>
        <v/>
      </c>
    </row>
    <row r="5222">
      <c r="A5222" t="inlineStr">
        <is>
          <t xml:space="preserve">home owner </t>
        </is>
      </c>
      <c r="B5222">
        <f>VLOOKUP(2111,Requirements!A2:B2967,2,FALSE)</f>
        <v/>
      </c>
    </row>
    <row r="5223">
      <c r="A5223" t="inlineStr">
        <is>
          <t xml:space="preserve">home owner </t>
        </is>
      </c>
      <c r="B5223">
        <f>VLOOKUP(2112,Requirements!A2:B2967,2,FALSE)</f>
        <v/>
      </c>
    </row>
    <row r="5224">
      <c r="A5224" t="inlineStr">
        <is>
          <t xml:space="preserve">home owner </t>
        </is>
      </c>
      <c r="B5224">
        <f>VLOOKUP(2113,Requirements!A2:B2967,2,FALSE)</f>
        <v/>
      </c>
    </row>
    <row r="5225">
      <c r="A5225" t="inlineStr">
        <is>
          <t xml:space="preserve">home owner </t>
        </is>
      </c>
      <c r="B5225">
        <f>VLOOKUP(2114,Requirements!A2:B2967,2,FALSE)</f>
        <v/>
      </c>
    </row>
    <row r="5226">
      <c r="A5226" t="inlineStr">
        <is>
          <t xml:space="preserve">home owner </t>
        </is>
      </c>
      <c r="B5226">
        <f>VLOOKUP(2115,Requirements!A2:B2967,2,FALSE)</f>
        <v/>
      </c>
    </row>
    <row r="5227">
      <c r="A5227" t="inlineStr">
        <is>
          <t xml:space="preserve">home owner </t>
        </is>
      </c>
      <c r="B5227">
        <f>VLOOKUP(2116,Requirements!A2:B2967,2,FALSE)</f>
        <v/>
      </c>
    </row>
    <row r="5228">
      <c r="A5228" t="inlineStr">
        <is>
          <t xml:space="preserve">home owner </t>
        </is>
      </c>
      <c r="B5228">
        <f>VLOOKUP(2118,Requirements!A2:B2967,2,FALSE)</f>
        <v/>
      </c>
    </row>
    <row r="5229">
      <c r="A5229" t="inlineStr">
        <is>
          <t xml:space="preserve">home owner </t>
        </is>
      </c>
      <c r="B5229">
        <f>VLOOKUP(2119,Requirements!A2:B2967,2,FALSE)</f>
        <v/>
      </c>
    </row>
    <row r="5230">
      <c r="A5230" t="inlineStr">
        <is>
          <t xml:space="preserve">home owner </t>
        </is>
      </c>
      <c r="B5230">
        <f>VLOOKUP(2120,Requirements!A2:B2967,2,FALSE)</f>
        <v/>
      </c>
    </row>
    <row r="5231">
      <c r="A5231" t="inlineStr">
        <is>
          <t xml:space="preserve">home owner </t>
        </is>
      </c>
      <c r="B5231">
        <f>VLOOKUP(2124,Requirements!A2:B2967,2,FALSE)</f>
        <v/>
      </c>
    </row>
    <row r="5232">
      <c r="A5232" t="inlineStr">
        <is>
          <t xml:space="preserve">home owner </t>
        </is>
      </c>
      <c r="B5232">
        <f>VLOOKUP(2129,Requirements!A2:B2967,2,FALSE)</f>
        <v/>
      </c>
    </row>
    <row r="5233">
      <c r="A5233" t="inlineStr">
        <is>
          <t xml:space="preserve">home owner </t>
        </is>
      </c>
      <c r="B5233">
        <f>VLOOKUP(2130,Requirements!A2:B2967,2,FALSE)</f>
        <v/>
      </c>
    </row>
    <row r="5234">
      <c r="A5234" t="inlineStr">
        <is>
          <t xml:space="preserve">home owner </t>
        </is>
      </c>
      <c r="B5234">
        <f>VLOOKUP(2133,Requirements!A2:B2967,2,FALSE)</f>
        <v/>
      </c>
    </row>
    <row r="5235">
      <c r="A5235" t="inlineStr">
        <is>
          <t xml:space="preserve">home owner </t>
        </is>
      </c>
      <c r="B5235">
        <f>VLOOKUP(2136,Requirements!A2:B2967,2,FALSE)</f>
        <v/>
      </c>
    </row>
    <row r="5236">
      <c r="A5236" t="inlineStr">
        <is>
          <t xml:space="preserve">home owner </t>
        </is>
      </c>
      <c r="B5236">
        <f>VLOOKUP(2140,Requirements!A2:B2967,2,FALSE)</f>
        <v/>
      </c>
    </row>
    <row r="5237">
      <c r="A5237" t="inlineStr">
        <is>
          <t xml:space="preserve">home owner </t>
        </is>
      </c>
      <c r="B5237">
        <f>VLOOKUP(2144,Requirements!A2:B2967,2,FALSE)</f>
        <v/>
      </c>
    </row>
    <row r="5238">
      <c r="A5238" t="inlineStr">
        <is>
          <t xml:space="preserve">home owner </t>
        </is>
      </c>
      <c r="B5238">
        <f>VLOOKUP(2147,Requirements!A2:B2967,2,FALSE)</f>
        <v/>
      </c>
    </row>
    <row r="5239">
      <c r="A5239" t="inlineStr">
        <is>
          <t xml:space="preserve">home owner </t>
        </is>
      </c>
      <c r="B5239">
        <f>VLOOKUP(2151,Requirements!A2:B2967,2,FALSE)</f>
        <v/>
      </c>
    </row>
    <row r="5240">
      <c r="A5240" t="inlineStr">
        <is>
          <t xml:space="preserve">home owner </t>
        </is>
      </c>
      <c r="B5240">
        <f>VLOOKUP(2176,Requirements!A2:B2967,2,FALSE)</f>
        <v/>
      </c>
    </row>
    <row r="5241">
      <c r="A5241" t="inlineStr">
        <is>
          <t xml:space="preserve">home owner </t>
        </is>
      </c>
      <c r="B5241">
        <f>VLOOKUP(2197,Requirements!A2:B2967,2,FALSE)</f>
        <v/>
      </c>
    </row>
    <row r="5242">
      <c r="A5242" t="inlineStr">
        <is>
          <t xml:space="preserve">home owner </t>
        </is>
      </c>
      <c r="B5242">
        <f>VLOOKUP(2209,Requirements!A2:B2967,2,FALSE)</f>
        <v/>
      </c>
    </row>
    <row r="5243">
      <c r="A5243" t="inlineStr">
        <is>
          <t xml:space="preserve">home owner </t>
        </is>
      </c>
      <c r="B5243">
        <f>VLOOKUP(2213,Requirements!A2:B2967,2,FALSE)</f>
        <v/>
      </c>
    </row>
    <row r="5244">
      <c r="A5244" t="inlineStr">
        <is>
          <t xml:space="preserve">home owner </t>
        </is>
      </c>
      <c r="B5244">
        <f>VLOOKUP(2224,Requirements!A2:B2967,2,FALSE)</f>
        <v/>
      </c>
    </row>
    <row r="5245">
      <c r="A5245" t="inlineStr">
        <is>
          <t xml:space="preserve">home owner </t>
        </is>
      </c>
      <c r="B5245">
        <f>VLOOKUP(2226,Requirements!A2:B2967,2,FALSE)</f>
        <v/>
      </c>
    </row>
    <row r="5246">
      <c r="A5246" t="inlineStr">
        <is>
          <t xml:space="preserve">home owner </t>
        </is>
      </c>
      <c r="B5246">
        <f>VLOOKUP(2233,Requirements!A2:B2967,2,FALSE)</f>
        <v/>
      </c>
    </row>
    <row r="5247">
      <c r="A5247" t="inlineStr">
        <is>
          <t xml:space="preserve">home owner </t>
        </is>
      </c>
      <c r="B5247">
        <f>VLOOKUP(2236,Requirements!A2:B2967,2,FALSE)</f>
        <v/>
      </c>
    </row>
    <row r="5248">
      <c r="A5248" t="inlineStr">
        <is>
          <t xml:space="preserve">home owner </t>
        </is>
      </c>
      <c r="B5248">
        <f>VLOOKUP(2278,Requirements!A2:B2967,2,FALSE)</f>
        <v/>
      </c>
    </row>
    <row r="5249">
      <c r="A5249" t="inlineStr">
        <is>
          <t xml:space="preserve">home owner </t>
        </is>
      </c>
      <c r="B5249">
        <f>VLOOKUP(2288,Requirements!A2:B2967,2,FALSE)</f>
        <v/>
      </c>
    </row>
    <row r="5250">
      <c r="A5250" t="inlineStr">
        <is>
          <t xml:space="preserve">home owner </t>
        </is>
      </c>
      <c r="B5250">
        <f>VLOOKUP(2289,Requirements!A2:B2967,2,FALSE)</f>
        <v/>
      </c>
    </row>
    <row r="5251">
      <c r="A5251" t="inlineStr">
        <is>
          <t xml:space="preserve">home owner </t>
        </is>
      </c>
      <c r="B5251">
        <f>VLOOKUP(2292,Requirements!A2:B2967,2,FALSE)</f>
        <v/>
      </c>
    </row>
    <row r="5252">
      <c r="A5252" t="inlineStr">
        <is>
          <t xml:space="preserve">home owner </t>
        </is>
      </c>
      <c r="B5252">
        <f>VLOOKUP(2296,Requirements!A2:B2967,2,FALSE)</f>
        <v/>
      </c>
    </row>
    <row r="5253">
      <c r="A5253" t="inlineStr">
        <is>
          <t xml:space="preserve">home owner </t>
        </is>
      </c>
      <c r="B5253">
        <f>VLOOKUP(2297,Requirements!A2:B2967,2,FALSE)</f>
        <v/>
      </c>
    </row>
    <row r="5254">
      <c r="A5254" t="inlineStr">
        <is>
          <t xml:space="preserve">home owner </t>
        </is>
      </c>
      <c r="B5254">
        <f>VLOOKUP(2305,Requirements!A2:B2967,2,FALSE)</f>
        <v/>
      </c>
    </row>
    <row r="5255">
      <c r="A5255" t="inlineStr">
        <is>
          <t xml:space="preserve">home owner </t>
        </is>
      </c>
      <c r="B5255">
        <f>VLOOKUP(2321,Requirements!A2:B2967,2,FALSE)</f>
        <v/>
      </c>
    </row>
    <row r="5256">
      <c r="A5256" t="inlineStr">
        <is>
          <t xml:space="preserve">home owner </t>
        </is>
      </c>
      <c r="B5256">
        <f>VLOOKUP(2324,Requirements!A2:B2967,2,FALSE)</f>
        <v/>
      </c>
    </row>
    <row r="5257">
      <c r="A5257" t="inlineStr">
        <is>
          <t xml:space="preserve">home owner </t>
        </is>
      </c>
      <c r="B5257">
        <f>VLOOKUP(2327,Requirements!A2:B2967,2,FALSE)</f>
        <v/>
      </c>
    </row>
    <row r="5258">
      <c r="A5258" t="inlineStr">
        <is>
          <t xml:space="preserve">home owner </t>
        </is>
      </c>
      <c r="B5258">
        <f>VLOOKUP(2328,Requirements!A2:B2967,2,FALSE)</f>
        <v/>
      </c>
    </row>
    <row r="5259">
      <c r="A5259" t="inlineStr">
        <is>
          <t xml:space="preserve">home owner </t>
        </is>
      </c>
      <c r="B5259">
        <f>VLOOKUP(2348,Requirements!A2:B2967,2,FALSE)</f>
        <v/>
      </c>
    </row>
    <row r="5260">
      <c r="A5260" t="inlineStr">
        <is>
          <t xml:space="preserve">home owner </t>
        </is>
      </c>
      <c r="B5260">
        <f>VLOOKUP(2401,Requirements!A2:B2967,2,FALSE)</f>
        <v/>
      </c>
    </row>
    <row r="5261">
      <c r="A5261" t="inlineStr">
        <is>
          <t xml:space="preserve">home owner </t>
        </is>
      </c>
      <c r="B5261">
        <f>VLOOKUP(2403,Requirements!A2:B2967,2,FALSE)</f>
        <v/>
      </c>
    </row>
    <row r="5262">
      <c r="A5262" t="inlineStr">
        <is>
          <t xml:space="preserve">home owner </t>
        </is>
      </c>
      <c r="B5262">
        <f>VLOOKUP(2407,Requirements!A2:B2967,2,FALSE)</f>
        <v/>
      </c>
    </row>
    <row r="5263">
      <c r="A5263" t="inlineStr">
        <is>
          <t xml:space="preserve">home owner </t>
        </is>
      </c>
      <c r="B5263">
        <f>VLOOKUP(2414,Requirements!A2:B2967,2,FALSE)</f>
        <v/>
      </c>
    </row>
    <row r="5264">
      <c r="A5264" t="inlineStr">
        <is>
          <t xml:space="preserve">home owner </t>
        </is>
      </c>
      <c r="B5264">
        <f>VLOOKUP(2415,Requirements!A2:B2967,2,FALSE)</f>
        <v/>
      </c>
    </row>
    <row r="5265">
      <c r="A5265" t="inlineStr">
        <is>
          <t xml:space="preserve">home owner </t>
        </is>
      </c>
      <c r="B5265">
        <f>VLOOKUP(2418,Requirements!A2:B2967,2,FALSE)</f>
        <v/>
      </c>
    </row>
    <row r="5266">
      <c r="A5266" t="inlineStr">
        <is>
          <t xml:space="preserve">home owner </t>
        </is>
      </c>
      <c r="B5266">
        <f>VLOOKUP(2421,Requirements!A2:B2967,2,FALSE)</f>
        <v/>
      </c>
    </row>
    <row r="5267">
      <c r="A5267" t="inlineStr">
        <is>
          <t xml:space="preserve">home owner </t>
        </is>
      </c>
      <c r="B5267">
        <f>VLOOKUP(2423,Requirements!A2:B2967,2,FALSE)</f>
        <v/>
      </c>
    </row>
    <row r="5268">
      <c r="A5268" t="inlineStr">
        <is>
          <t xml:space="preserve">home owner </t>
        </is>
      </c>
      <c r="B5268">
        <f>VLOOKUP(2428,Requirements!A2:B2967,2,FALSE)</f>
        <v/>
      </c>
    </row>
    <row r="5269">
      <c r="A5269" t="inlineStr">
        <is>
          <t xml:space="preserve">home owner </t>
        </is>
      </c>
      <c r="B5269">
        <f>VLOOKUP(2434,Requirements!A2:B2967,2,FALSE)</f>
        <v/>
      </c>
    </row>
    <row r="5270">
      <c r="A5270" t="inlineStr">
        <is>
          <t xml:space="preserve">home owner </t>
        </is>
      </c>
      <c r="B5270">
        <f>VLOOKUP(2440,Requirements!A2:B2967,2,FALSE)</f>
        <v/>
      </c>
    </row>
    <row r="5271">
      <c r="A5271" t="inlineStr">
        <is>
          <t xml:space="preserve">home owner </t>
        </is>
      </c>
      <c r="B5271">
        <f>VLOOKUP(2442,Requirements!A2:B2967,2,FALSE)</f>
        <v/>
      </c>
    </row>
    <row r="5272">
      <c r="A5272" t="inlineStr">
        <is>
          <t xml:space="preserve">home owner </t>
        </is>
      </c>
      <c r="B5272">
        <f>VLOOKUP(2444,Requirements!A2:B2967,2,FALSE)</f>
        <v/>
      </c>
    </row>
    <row r="5273">
      <c r="A5273" t="inlineStr">
        <is>
          <t xml:space="preserve">home owner </t>
        </is>
      </c>
      <c r="B5273">
        <f>VLOOKUP(2447,Requirements!A2:B2967,2,FALSE)</f>
        <v/>
      </c>
    </row>
    <row r="5274">
      <c r="A5274" t="inlineStr">
        <is>
          <t xml:space="preserve">home owner </t>
        </is>
      </c>
      <c r="B5274">
        <f>VLOOKUP(2450,Requirements!A2:B2967,2,FALSE)</f>
        <v/>
      </c>
    </row>
    <row r="5275">
      <c r="A5275" t="inlineStr">
        <is>
          <t xml:space="preserve">home owner </t>
        </is>
      </c>
      <c r="B5275">
        <f>VLOOKUP(2452,Requirements!A2:B2967,2,FALSE)</f>
        <v/>
      </c>
    </row>
    <row r="5276">
      <c r="A5276" t="inlineStr">
        <is>
          <t xml:space="preserve">home owner </t>
        </is>
      </c>
      <c r="B5276">
        <f>VLOOKUP(2453,Requirements!A2:B2967,2,FALSE)</f>
        <v/>
      </c>
    </row>
    <row r="5277">
      <c r="A5277" t="inlineStr">
        <is>
          <t xml:space="preserve">home owner </t>
        </is>
      </c>
      <c r="B5277">
        <f>VLOOKUP(2458,Requirements!A2:B2967,2,FALSE)</f>
        <v/>
      </c>
    </row>
    <row r="5278">
      <c r="A5278" t="inlineStr">
        <is>
          <t xml:space="preserve">home owner </t>
        </is>
      </c>
      <c r="B5278">
        <f>VLOOKUP(2459,Requirements!A2:B2967,2,FALSE)</f>
        <v/>
      </c>
    </row>
    <row r="5279">
      <c r="A5279" t="inlineStr">
        <is>
          <t xml:space="preserve">home owner </t>
        </is>
      </c>
      <c r="B5279">
        <f>VLOOKUP(2463,Requirements!A2:B2967,2,FALSE)</f>
        <v/>
      </c>
    </row>
    <row r="5280">
      <c r="A5280" t="inlineStr">
        <is>
          <t xml:space="preserve">home owner </t>
        </is>
      </c>
      <c r="B5280">
        <f>VLOOKUP(2467,Requirements!A2:B2967,2,FALSE)</f>
        <v/>
      </c>
    </row>
    <row r="5281">
      <c r="A5281" t="inlineStr">
        <is>
          <t xml:space="preserve">home owner </t>
        </is>
      </c>
      <c r="B5281">
        <f>VLOOKUP(2472,Requirements!A2:B2967,2,FALSE)</f>
        <v/>
      </c>
    </row>
    <row r="5282">
      <c r="A5282" t="inlineStr">
        <is>
          <t xml:space="preserve">home owner </t>
        </is>
      </c>
      <c r="B5282">
        <f>VLOOKUP(2477,Requirements!A2:B2967,2,FALSE)</f>
        <v/>
      </c>
    </row>
    <row r="5283">
      <c r="A5283" t="inlineStr">
        <is>
          <t xml:space="preserve">home owner </t>
        </is>
      </c>
      <c r="B5283">
        <f>VLOOKUP(2478,Requirements!A2:B2967,2,FALSE)</f>
        <v/>
      </c>
    </row>
    <row r="5284">
      <c r="A5284" t="inlineStr">
        <is>
          <t xml:space="preserve">home owner </t>
        </is>
      </c>
      <c r="B5284">
        <f>VLOOKUP(2480,Requirements!A2:B2967,2,FALSE)</f>
        <v/>
      </c>
    </row>
    <row r="5285">
      <c r="A5285" t="inlineStr">
        <is>
          <t xml:space="preserve">home owner </t>
        </is>
      </c>
      <c r="B5285">
        <f>VLOOKUP(2485,Requirements!A2:B2967,2,FALSE)</f>
        <v/>
      </c>
    </row>
    <row r="5286">
      <c r="A5286" t="inlineStr">
        <is>
          <t xml:space="preserve">home owner </t>
        </is>
      </c>
      <c r="B5286">
        <f>VLOOKUP(2486,Requirements!A2:B2967,2,FALSE)</f>
        <v/>
      </c>
    </row>
    <row r="5287">
      <c r="A5287" t="inlineStr">
        <is>
          <t xml:space="preserve">home owner </t>
        </is>
      </c>
      <c r="B5287">
        <f>VLOOKUP(2488,Requirements!A2:B2967,2,FALSE)</f>
        <v/>
      </c>
    </row>
    <row r="5288">
      <c r="A5288" t="inlineStr">
        <is>
          <t xml:space="preserve">home owner </t>
        </is>
      </c>
      <c r="B5288">
        <f>VLOOKUP(2489,Requirements!A2:B2967,2,FALSE)</f>
        <v/>
      </c>
    </row>
    <row r="5289">
      <c r="A5289" t="inlineStr">
        <is>
          <t xml:space="preserve">home owner </t>
        </is>
      </c>
      <c r="B5289">
        <f>VLOOKUP(2493,Requirements!A2:B2967,2,FALSE)</f>
        <v/>
      </c>
    </row>
    <row r="5290">
      <c r="A5290" t="inlineStr">
        <is>
          <t xml:space="preserve">home owner </t>
        </is>
      </c>
      <c r="B5290">
        <f>VLOOKUP(2499,Requirements!A2:B2967,2,FALSE)</f>
        <v/>
      </c>
    </row>
    <row r="5291">
      <c r="A5291" t="inlineStr">
        <is>
          <t xml:space="preserve">home owner </t>
        </is>
      </c>
      <c r="B5291">
        <f>VLOOKUP(2503,Requirements!A2:B2967,2,FALSE)</f>
        <v/>
      </c>
    </row>
    <row r="5292">
      <c r="A5292" t="inlineStr">
        <is>
          <t xml:space="preserve">home owner </t>
        </is>
      </c>
      <c r="B5292">
        <f>VLOOKUP(2510,Requirements!A2:B2967,2,FALSE)</f>
        <v/>
      </c>
    </row>
    <row r="5293">
      <c r="A5293" t="inlineStr">
        <is>
          <t xml:space="preserve">home owner </t>
        </is>
      </c>
      <c r="B5293">
        <f>VLOOKUP(2563,Requirements!A2:B2967,2,FALSE)</f>
        <v/>
      </c>
    </row>
    <row r="5294">
      <c r="A5294" t="inlineStr">
        <is>
          <t xml:space="preserve">home owner </t>
        </is>
      </c>
      <c r="B5294">
        <f>VLOOKUP(2566,Requirements!A2:B2967,2,FALSE)</f>
        <v/>
      </c>
    </row>
    <row r="5295">
      <c r="A5295" t="inlineStr">
        <is>
          <t xml:space="preserve">home owner </t>
        </is>
      </c>
      <c r="B5295">
        <f>VLOOKUP(2568,Requirements!A2:B2967,2,FALSE)</f>
        <v/>
      </c>
    </row>
    <row r="5296">
      <c r="A5296" t="inlineStr">
        <is>
          <t xml:space="preserve">home owner </t>
        </is>
      </c>
      <c r="B5296">
        <f>VLOOKUP(2569,Requirements!A2:B2967,2,FALSE)</f>
        <v/>
      </c>
    </row>
    <row r="5297">
      <c r="A5297" t="inlineStr">
        <is>
          <t xml:space="preserve">home owner </t>
        </is>
      </c>
      <c r="B5297">
        <f>VLOOKUP(2571,Requirements!A2:B2967,2,FALSE)</f>
        <v/>
      </c>
    </row>
    <row r="5298">
      <c r="A5298" t="inlineStr">
        <is>
          <t xml:space="preserve">home owner </t>
        </is>
      </c>
      <c r="B5298">
        <f>VLOOKUP(2573,Requirements!A2:B2967,2,FALSE)</f>
        <v/>
      </c>
    </row>
    <row r="5299">
      <c r="A5299" t="inlineStr">
        <is>
          <t xml:space="preserve">home owner </t>
        </is>
      </c>
      <c r="B5299">
        <f>VLOOKUP(2576,Requirements!A2:B2967,2,FALSE)</f>
        <v/>
      </c>
    </row>
    <row r="5300">
      <c r="A5300" t="inlineStr">
        <is>
          <t xml:space="preserve">home owner </t>
        </is>
      </c>
      <c r="B5300">
        <f>VLOOKUP(2582,Requirements!A2:B2967,2,FALSE)</f>
        <v/>
      </c>
    </row>
    <row r="5301">
      <c r="A5301" t="inlineStr">
        <is>
          <t xml:space="preserve">home owner </t>
        </is>
      </c>
      <c r="B5301">
        <f>VLOOKUP(2598,Requirements!A2:B2967,2,FALSE)</f>
        <v/>
      </c>
    </row>
    <row r="5302">
      <c r="A5302" t="inlineStr">
        <is>
          <t xml:space="preserve">home owner </t>
        </is>
      </c>
      <c r="B5302">
        <f>VLOOKUP(2599,Requirements!A2:B2967,2,FALSE)</f>
        <v/>
      </c>
    </row>
    <row r="5303">
      <c r="A5303" t="inlineStr">
        <is>
          <t xml:space="preserve">home owner </t>
        </is>
      </c>
      <c r="B5303">
        <f>VLOOKUP(2600,Requirements!A2:B2967,2,FALSE)</f>
        <v/>
      </c>
    </row>
    <row r="5304">
      <c r="A5304" t="inlineStr">
        <is>
          <t xml:space="preserve">home owner </t>
        </is>
      </c>
      <c r="B5304">
        <f>VLOOKUP(2601,Requirements!A2:B2967,2,FALSE)</f>
        <v/>
      </c>
    </row>
    <row r="5305">
      <c r="A5305" t="inlineStr">
        <is>
          <t xml:space="preserve">home owner </t>
        </is>
      </c>
      <c r="B5305">
        <f>VLOOKUP(2602,Requirements!A2:B2967,2,FALSE)</f>
        <v/>
      </c>
    </row>
    <row r="5306">
      <c r="A5306" t="inlineStr">
        <is>
          <t xml:space="preserve">home owner </t>
        </is>
      </c>
      <c r="B5306">
        <f>VLOOKUP(2603,Requirements!A2:B2967,2,FALSE)</f>
        <v/>
      </c>
    </row>
    <row r="5307">
      <c r="A5307" t="inlineStr">
        <is>
          <t xml:space="preserve">home owner </t>
        </is>
      </c>
      <c r="B5307">
        <f>VLOOKUP(2610,Requirements!A2:B2967,2,FALSE)</f>
        <v/>
      </c>
    </row>
    <row r="5308">
      <c r="A5308" t="inlineStr">
        <is>
          <t xml:space="preserve">home owner </t>
        </is>
      </c>
      <c r="B5308">
        <f>VLOOKUP(2615,Requirements!A2:B2967,2,FALSE)</f>
        <v/>
      </c>
    </row>
    <row r="5309">
      <c r="A5309" t="inlineStr">
        <is>
          <t xml:space="preserve">home owner </t>
        </is>
      </c>
      <c r="B5309">
        <f>VLOOKUP(2629,Requirements!A2:B2967,2,FALSE)</f>
        <v/>
      </c>
    </row>
    <row r="5310">
      <c r="A5310" t="inlineStr">
        <is>
          <t xml:space="preserve">home owner </t>
        </is>
      </c>
      <c r="B5310">
        <f>VLOOKUP(2635,Requirements!A2:B2967,2,FALSE)</f>
        <v/>
      </c>
    </row>
    <row r="5311">
      <c r="A5311" t="inlineStr">
        <is>
          <t xml:space="preserve">home owner </t>
        </is>
      </c>
      <c r="B5311">
        <f>VLOOKUP(2641,Requirements!A2:B2967,2,FALSE)</f>
        <v/>
      </c>
    </row>
    <row r="5312">
      <c r="A5312" t="inlineStr">
        <is>
          <t xml:space="preserve">home owner </t>
        </is>
      </c>
      <c r="B5312">
        <f>VLOOKUP(2646,Requirements!A2:B2967,2,FALSE)</f>
        <v/>
      </c>
    </row>
    <row r="5313">
      <c r="A5313" t="inlineStr">
        <is>
          <t xml:space="preserve">home owner </t>
        </is>
      </c>
      <c r="B5313">
        <f>VLOOKUP(2649,Requirements!A2:B2967,2,FALSE)</f>
        <v/>
      </c>
    </row>
    <row r="5314">
      <c r="A5314" t="inlineStr">
        <is>
          <t xml:space="preserve">home owner </t>
        </is>
      </c>
      <c r="B5314">
        <f>VLOOKUP(2653,Requirements!A2:B2967,2,FALSE)</f>
        <v/>
      </c>
    </row>
    <row r="5315">
      <c r="A5315" t="inlineStr">
        <is>
          <t xml:space="preserve">home owner </t>
        </is>
      </c>
      <c r="B5315">
        <f>VLOOKUP(2666,Requirements!A2:B2967,2,FALSE)</f>
        <v/>
      </c>
    </row>
    <row r="5316">
      <c r="A5316" t="inlineStr">
        <is>
          <t xml:space="preserve">home owner </t>
        </is>
      </c>
      <c r="B5316">
        <f>VLOOKUP(2671,Requirements!A2:B2967,2,FALSE)</f>
        <v/>
      </c>
    </row>
    <row r="5317">
      <c r="A5317" t="inlineStr">
        <is>
          <t xml:space="preserve">home owner </t>
        </is>
      </c>
      <c r="B5317">
        <f>VLOOKUP(2686,Requirements!A2:B2967,2,FALSE)</f>
        <v/>
      </c>
    </row>
    <row r="5318">
      <c r="A5318" t="inlineStr">
        <is>
          <t xml:space="preserve">home owner </t>
        </is>
      </c>
      <c r="B5318">
        <f>VLOOKUP(2694,Requirements!A2:B2967,2,FALSE)</f>
        <v/>
      </c>
    </row>
    <row r="5319">
      <c r="A5319" t="inlineStr">
        <is>
          <t xml:space="preserve">home owner </t>
        </is>
      </c>
      <c r="B5319">
        <f>VLOOKUP(2698,Requirements!A2:B2967,2,FALSE)</f>
        <v/>
      </c>
    </row>
    <row r="5320">
      <c r="A5320" t="inlineStr">
        <is>
          <t xml:space="preserve">home owner </t>
        </is>
      </c>
      <c r="B5320">
        <f>VLOOKUP(2702,Requirements!A2:B2967,2,FALSE)</f>
        <v/>
      </c>
    </row>
    <row r="5321">
      <c r="A5321" t="inlineStr">
        <is>
          <t xml:space="preserve">home owner </t>
        </is>
      </c>
      <c r="B5321">
        <f>VLOOKUP(2703,Requirements!A2:B2967,2,FALSE)</f>
        <v/>
      </c>
    </row>
    <row r="5322">
      <c r="A5322" t="inlineStr">
        <is>
          <t xml:space="preserve">home owner </t>
        </is>
      </c>
      <c r="B5322">
        <f>VLOOKUP(2707,Requirements!A2:B2967,2,FALSE)</f>
        <v/>
      </c>
    </row>
    <row r="5323">
      <c r="A5323" t="inlineStr">
        <is>
          <t xml:space="preserve">home owner </t>
        </is>
      </c>
      <c r="B5323">
        <f>VLOOKUP(2709,Requirements!A2:B2967,2,FALSE)</f>
        <v/>
      </c>
    </row>
    <row r="5324">
      <c r="A5324" t="inlineStr">
        <is>
          <t xml:space="preserve">home owner </t>
        </is>
      </c>
      <c r="B5324">
        <f>VLOOKUP(2713,Requirements!A2:B2967,2,FALSE)</f>
        <v/>
      </c>
    </row>
    <row r="5325">
      <c r="A5325" t="inlineStr">
        <is>
          <t xml:space="preserve">home owner </t>
        </is>
      </c>
      <c r="B5325">
        <f>VLOOKUP(2718,Requirements!A2:B2967,2,FALSE)</f>
        <v/>
      </c>
    </row>
    <row r="5326">
      <c r="A5326" t="inlineStr">
        <is>
          <t xml:space="preserve">home owner </t>
        </is>
      </c>
      <c r="B5326">
        <f>VLOOKUP(2730,Requirements!A2:B2967,2,FALSE)</f>
        <v/>
      </c>
    </row>
    <row r="5327">
      <c r="A5327" t="inlineStr">
        <is>
          <t xml:space="preserve">home owner </t>
        </is>
      </c>
      <c r="B5327">
        <f>VLOOKUP(2732,Requirements!A2:B2967,2,FALSE)</f>
        <v/>
      </c>
    </row>
    <row r="5328">
      <c r="A5328" t="inlineStr">
        <is>
          <t xml:space="preserve">home owner </t>
        </is>
      </c>
      <c r="B5328">
        <f>VLOOKUP(2736,Requirements!A2:B2967,2,FALSE)</f>
        <v/>
      </c>
    </row>
    <row r="5329">
      <c r="A5329" t="inlineStr">
        <is>
          <t xml:space="preserve">home owner </t>
        </is>
      </c>
      <c r="B5329">
        <f>VLOOKUP(2741,Requirements!A2:B2967,2,FALSE)</f>
        <v/>
      </c>
    </row>
    <row r="5330">
      <c r="A5330" t="inlineStr">
        <is>
          <t xml:space="preserve">home owner </t>
        </is>
      </c>
      <c r="B5330">
        <f>VLOOKUP(2752,Requirements!A2:B2967,2,FALSE)</f>
        <v/>
      </c>
    </row>
    <row r="5331">
      <c r="A5331" t="inlineStr">
        <is>
          <t xml:space="preserve">home owner </t>
        </is>
      </c>
      <c r="B5331">
        <f>VLOOKUP(2758,Requirements!A2:B2967,2,FALSE)</f>
        <v/>
      </c>
    </row>
    <row r="5332">
      <c r="A5332" t="inlineStr">
        <is>
          <t xml:space="preserve">home owner </t>
        </is>
      </c>
      <c r="B5332">
        <f>VLOOKUP(2771,Requirements!A2:B2967,2,FALSE)</f>
        <v/>
      </c>
    </row>
    <row r="5333">
      <c r="A5333" t="inlineStr">
        <is>
          <t xml:space="preserve">home owner </t>
        </is>
      </c>
      <c r="B5333">
        <f>VLOOKUP(2773,Requirements!A2:B2967,2,FALSE)</f>
        <v/>
      </c>
    </row>
    <row r="5334">
      <c r="A5334" t="inlineStr">
        <is>
          <t xml:space="preserve">home owner </t>
        </is>
      </c>
      <c r="B5334">
        <f>VLOOKUP(2774,Requirements!A2:B2967,2,FALSE)</f>
        <v/>
      </c>
    </row>
    <row r="5335">
      <c r="A5335" t="inlineStr">
        <is>
          <t xml:space="preserve">home owner </t>
        </is>
      </c>
      <c r="B5335">
        <f>VLOOKUP(2791,Requirements!A2:B2967,2,FALSE)</f>
        <v/>
      </c>
    </row>
    <row r="5336">
      <c r="A5336" t="inlineStr">
        <is>
          <t xml:space="preserve">home owner </t>
        </is>
      </c>
      <c r="B5336">
        <f>VLOOKUP(2796,Requirements!A2:B2967,2,FALSE)</f>
        <v/>
      </c>
    </row>
    <row r="5337">
      <c r="A5337" t="inlineStr">
        <is>
          <t xml:space="preserve">home owner </t>
        </is>
      </c>
      <c r="B5337">
        <f>VLOOKUP(2810,Requirements!A2:B2967,2,FALSE)</f>
        <v/>
      </c>
    </row>
    <row r="5338">
      <c r="A5338" t="inlineStr">
        <is>
          <t xml:space="preserve">home owner </t>
        </is>
      </c>
      <c r="B5338">
        <f>VLOOKUP(2812,Requirements!A2:B2967,2,FALSE)</f>
        <v/>
      </c>
    </row>
    <row r="5339">
      <c r="A5339" t="inlineStr">
        <is>
          <t xml:space="preserve">home owner </t>
        </is>
      </c>
      <c r="B5339">
        <f>VLOOKUP(2853,Requirements!A2:B2967,2,FALSE)</f>
        <v/>
      </c>
    </row>
    <row r="5340">
      <c r="A5340" t="inlineStr">
        <is>
          <t xml:space="preserve">home owner </t>
        </is>
      </c>
      <c r="B5340">
        <f>VLOOKUP(2855,Requirements!A2:B2967,2,FALSE)</f>
        <v/>
      </c>
    </row>
    <row r="5341">
      <c r="A5341" t="inlineStr">
        <is>
          <t xml:space="preserve">home owner </t>
        </is>
      </c>
      <c r="B5341">
        <f>VLOOKUP(2860,Requirements!A2:B2967,2,FALSE)</f>
        <v/>
      </c>
    </row>
    <row r="5342">
      <c r="A5342" t="inlineStr">
        <is>
          <t xml:space="preserve">home owner </t>
        </is>
      </c>
      <c r="B5342">
        <f>VLOOKUP(2863,Requirements!A2:B2967,2,FALSE)</f>
        <v/>
      </c>
    </row>
    <row r="5343">
      <c r="A5343" t="inlineStr">
        <is>
          <t xml:space="preserve">home owner </t>
        </is>
      </c>
      <c r="B5343">
        <f>VLOOKUP(2868,Requirements!A2:B2967,2,FALSE)</f>
        <v/>
      </c>
    </row>
    <row r="5344">
      <c r="A5344" t="inlineStr">
        <is>
          <t xml:space="preserve">home owner </t>
        </is>
      </c>
      <c r="B5344">
        <f>VLOOKUP(2870,Requirements!A2:B2967,2,FALSE)</f>
        <v/>
      </c>
    </row>
    <row r="5345">
      <c r="A5345" t="inlineStr">
        <is>
          <t xml:space="preserve">home owner </t>
        </is>
      </c>
      <c r="B5345">
        <f>VLOOKUP(2883,Requirements!A2:B2967,2,FALSE)</f>
        <v/>
      </c>
    </row>
    <row r="5346">
      <c r="A5346" t="inlineStr">
        <is>
          <t xml:space="preserve">home owner </t>
        </is>
      </c>
      <c r="B5346">
        <f>VLOOKUP(2885,Requirements!A2:B2967,2,FALSE)</f>
        <v/>
      </c>
    </row>
    <row r="5347">
      <c r="A5347" t="inlineStr">
        <is>
          <t xml:space="preserve">home owner </t>
        </is>
      </c>
      <c r="B5347">
        <f>VLOOKUP(2893,Requirements!A2:B2967,2,FALSE)</f>
        <v/>
      </c>
    </row>
    <row r="5348">
      <c r="A5348" t="inlineStr">
        <is>
          <t xml:space="preserve">home owner </t>
        </is>
      </c>
      <c r="B5348">
        <f>VLOOKUP(2900,Requirements!A2:B2967,2,FALSE)</f>
        <v/>
      </c>
    </row>
    <row r="5349">
      <c r="A5349" t="inlineStr">
        <is>
          <t xml:space="preserve">home owner </t>
        </is>
      </c>
      <c r="B5349">
        <f>VLOOKUP(2909,Requirements!A2:B2967,2,FALSE)</f>
        <v/>
      </c>
    </row>
    <row r="5350">
      <c r="A5350" t="inlineStr">
        <is>
          <t xml:space="preserve">home owner </t>
        </is>
      </c>
      <c r="B5350">
        <f>VLOOKUP(2911,Requirements!A2:B2967,2,FALSE)</f>
        <v/>
      </c>
    </row>
    <row r="5351">
      <c r="A5351" t="inlineStr">
        <is>
          <t xml:space="preserve">home owner </t>
        </is>
      </c>
      <c r="B5351">
        <f>VLOOKUP(2918,Requirements!A2:B2967,2,FALSE)</f>
        <v/>
      </c>
    </row>
    <row r="5352">
      <c r="A5352" t="inlineStr">
        <is>
          <t xml:space="preserve">home owner </t>
        </is>
      </c>
      <c r="B5352">
        <f>VLOOKUP(2920,Requirements!A2:B2967,2,FALSE)</f>
        <v/>
      </c>
    </row>
    <row r="5353">
      <c r="A5353" t="inlineStr">
        <is>
          <t xml:space="preserve">home owner </t>
        </is>
      </c>
      <c r="B5353">
        <f>VLOOKUP(2928,Requirements!A2:B2967,2,FALSE)</f>
        <v/>
      </c>
    </row>
    <row r="5354">
      <c r="A5354" t="inlineStr">
        <is>
          <t xml:space="preserve">home owner </t>
        </is>
      </c>
      <c r="B5354">
        <f>VLOOKUP(2942,Requirements!A2:B2967,2,FALSE)</f>
        <v/>
      </c>
    </row>
    <row r="5355">
      <c r="A5355" t="inlineStr">
        <is>
          <t xml:space="preserve">home owner </t>
        </is>
      </c>
      <c r="B5355">
        <f>VLOOKUP(2945,Requirements!A2:B2967,2,FALSE)</f>
        <v/>
      </c>
    </row>
    <row r="5356">
      <c r="A5356" t="inlineStr">
        <is>
          <t xml:space="preserve">home owner </t>
        </is>
      </c>
      <c r="B5356">
        <f>VLOOKUP(2947,Requirements!A2:B2967,2,FALSE)</f>
        <v/>
      </c>
    </row>
    <row r="5357">
      <c r="A5357" t="inlineStr">
        <is>
          <t xml:space="preserve">home owner </t>
        </is>
      </c>
      <c r="B5357">
        <f>VLOOKUP(2956,Requirements!A2:B2967,2,FALSE)</f>
        <v/>
      </c>
    </row>
    <row r="5358">
      <c r="A5358" t="inlineStr">
        <is>
          <t xml:space="preserve">home owner </t>
        </is>
      </c>
      <c r="B5358">
        <f>VLOOKUP(2961,Requirements!A2:B2967,2,FALSE)</f>
        <v/>
      </c>
    </row>
    <row r="5359">
      <c r="A5359" t="inlineStr">
        <is>
          <t xml:space="preserve">home owner </t>
        </is>
      </c>
      <c r="B5359">
        <f>VLOOKUP(2974,Requirements!A2:B2967,2,FALSE)</f>
        <v/>
      </c>
    </row>
    <row r="5360">
      <c r="A5360" t="inlineStr">
        <is>
          <t xml:space="preserve">home owner </t>
        </is>
      </c>
      <c r="B5360">
        <f>VLOOKUP(3019,Requirements!A2:B2967,2,FALSE)</f>
        <v/>
      </c>
    </row>
    <row r="5361">
      <c r="A5361" t="inlineStr">
        <is>
          <t xml:space="preserve">home owner </t>
        </is>
      </c>
      <c r="B5361">
        <f>VLOOKUP(3020,Requirements!A2:B2967,2,FALSE)</f>
        <v/>
      </c>
    </row>
    <row r="5362">
      <c r="A5362" t="inlineStr">
        <is>
          <t xml:space="preserve">home owner </t>
        </is>
      </c>
      <c r="B5362">
        <f>VLOOKUP(3025,Requirements!A2:B2967,2,FALSE)</f>
        <v/>
      </c>
    </row>
    <row r="5363">
      <c r="A5363" t="inlineStr">
        <is>
          <t xml:space="preserve">home owner </t>
        </is>
      </c>
      <c r="B5363">
        <f>VLOOKUP(3028,Requirements!A2:B2967,2,FALSE)</f>
        <v/>
      </c>
    </row>
    <row r="5364">
      <c r="A5364" t="inlineStr">
        <is>
          <t xml:space="preserve">home owner </t>
        </is>
      </c>
      <c r="B5364">
        <f>VLOOKUP(3047,Requirements!A2:B2967,2,FALSE)</f>
        <v/>
      </c>
    </row>
    <row r="5365">
      <c r="A5365" t="inlineStr">
        <is>
          <t xml:space="preserve">home owner </t>
        </is>
      </c>
      <c r="B5365">
        <f>VLOOKUP(3061,Requirements!A2:B2967,2,FALSE)</f>
        <v/>
      </c>
    </row>
    <row r="5366">
      <c r="A5366" t="inlineStr">
        <is>
          <t xml:space="preserve">home owner </t>
        </is>
      </c>
      <c r="B5366">
        <f>VLOOKUP(3064,Requirements!A2:B2967,2,FALSE)</f>
        <v/>
      </c>
    </row>
    <row r="5367">
      <c r="A5367" t="inlineStr">
        <is>
          <t xml:space="preserve">home owner </t>
        </is>
      </c>
      <c r="B5367">
        <f>VLOOKUP(3083,Requirements!A2:B2967,2,FALSE)</f>
        <v/>
      </c>
    </row>
    <row r="5368">
      <c r="A5368" t="inlineStr">
        <is>
          <t xml:space="preserve">home owner </t>
        </is>
      </c>
      <c r="B5368">
        <f>VLOOKUP(3090,Requirements!A2:B2967,2,FALSE)</f>
        <v/>
      </c>
    </row>
    <row r="5369">
      <c r="A5369" t="inlineStr">
        <is>
          <t xml:space="preserve">home owner </t>
        </is>
      </c>
      <c r="B5369">
        <f>VLOOKUP(3091,Requirements!A2:B2967,2,FALSE)</f>
        <v/>
      </c>
    </row>
    <row r="5370">
      <c r="A5370" t="inlineStr">
        <is>
          <t xml:space="preserve">home owner </t>
        </is>
      </c>
      <c r="B5370">
        <f>VLOOKUP(3099,Requirements!A2:B2967,2,FALSE)</f>
        <v/>
      </c>
    </row>
    <row r="5371">
      <c r="A5371" t="inlineStr">
        <is>
          <t xml:space="preserve">home owner </t>
        </is>
      </c>
      <c r="B5371">
        <f>VLOOKUP(3102,Requirements!A2:B2967,2,FALSE)</f>
        <v/>
      </c>
    </row>
    <row r="5372">
      <c r="A5372" t="inlineStr">
        <is>
          <t xml:space="preserve">home owner </t>
        </is>
      </c>
      <c r="B5372">
        <f>VLOOKUP(3106,Requirements!A2:B2967,2,FALSE)</f>
        <v/>
      </c>
    </row>
    <row r="5373">
      <c r="A5373" t="inlineStr">
        <is>
          <t xml:space="preserve">home owner </t>
        </is>
      </c>
      <c r="B5373">
        <f>VLOOKUP(3110,Requirements!A2:B2967,2,FALSE)</f>
        <v/>
      </c>
    </row>
    <row r="5374">
      <c r="A5374" t="inlineStr">
        <is>
          <t xml:space="preserve">home owner </t>
        </is>
      </c>
      <c r="B5374">
        <f>VLOOKUP(3121,Requirements!A2:B2967,2,FALSE)</f>
        <v/>
      </c>
    </row>
    <row r="5375">
      <c r="A5375" t="inlineStr">
        <is>
          <t xml:space="preserve">home owner </t>
        </is>
      </c>
      <c r="B5375">
        <f>VLOOKUP(3129,Requirements!A2:B2967,2,FALSE)</f>
        <v/>
      </c>
    </row>
    <row r="5376">
      <c r="A5376" t="inlineStr">
        <is>
          <t xml:space="preserve">home owner </t>
        </is>
      </c>
      <c r="B5376">
        <f>VLOOKUP(3130,Requirements!A2:B2967,2,FALSE)</f>
        <v/>
      </c>
    </row>
    <row r="5377">
      <c r="A5377" t="inlineStr">
        <is>
          <t xml:space="preserve">home owner </t>
        </is>
      </c>
      <c r="B5377">
        <f>VLOOKUP(3135,Requirements!A2:B2967,2,FALSE)</f>
        <v/>
      </c>
    </row>
    <row r="5378">
      <c r="A5378" t="inlineStr">
        <is>
          <t xml:space="preserve">home owner </t>
        </is>
      </c>
      <c r="B5378">
        <f>VLOOKUP(3140,Requirements!A2:B2967,2,FALSE)</f>
        <v/>
      </c>
    </row>
    <row r="5379">
      <c r="A5379" t="inlineStr">
        <is>
          <t xml:space="preserve">home owner </t>
        </is>
      </c>
      <c r="B5379">
        <f>VLOOKUP(3144,Requirements!A2:B2967,2,FALSE)</f>
        <v/>
      </c>
    </row>
    <row r="5380">
      <c r="A5380" t="inlineStr">
        <is>
          <t xml:space="preserve">home owner </t>
        </is>
      </c>
      <c r="B5380">
        <f>VLOOKUP(3148,Requirements!A2:B2967,2,FALSE)</f>
        <v/>
      </c>
    </row>
    <row r="5381">
      <c r="A5381" t="inlineStr">
        <is>
          <t xml:space="preserve">home owner </t>
        </is>
      </c>
      <c r="B5381">
        <f>VLOOKUP(3149,Requirements!A2:B2967,2,FALSE)</f>
        <v/>
      </c>
    </row>
    <row r="5382">
      <c r="A5382" t="inlineStr">
        <is>
          <t xml:space="preserve">home owner </t>
        </is>
      </c>
      <c r="B5382">
        <f>VLOOKUP(3154,Requirements!A2:B2967,2,FALSE)</f>
        <v/>
      </c>
    </row>
    <row r="5383">
      <c r="A5383" t="inlineStr">
        <is>
          <t xml:space="preserve">home owner </t>
        </is>
      </c>
      <c r="B5383">
        <f>VLOOKUP(3156,Requirements!A2:B2967,2,FALSE)</f>
        <v/>
      </c>
    </row>
    <row r="5384">
      <c r="A5384" t="inlineStr">
        <is>
          <t xml:space="preserve">home owner </t>
        </is>
      </c>
      <c r="B5384">
        <f>VLOOKUP(3177,Requirements!A2:B2967,2,FALSE)</f>
        <v/>
      </c>
    </row>
    <row r="5385">
      <c r="A5385" t="inlineStr">
        <is>
          <t xml:space="preserve">home owner </t>
        </is>
      </c>
      <c r="B5385">
        <f>VLOOKUP(3179,Requirements!A2:B2967,2,FALSE)</f>
        <v/>
      </c>
    </row>
    <row r="5386">
      <c r="A5386" t="inlineStr">
        <is>
          <t xml:space="preserve">home owner </t>
        </is>
      </c>
      <c r="B5386">
        <f>VLOOKUP(3183,Requirements!A2:B2967,2,FALSE)</f>
        <v/>
      </c>
    </row>
    <row r="5387">
      <c r="A5387" t="inlineStr">
        <is>
          <t xml:space="preserve">home owner </t>
        </is>
      </c>
      <c r="B5387">
        <f>VLOOKUP(3187,Requirements!A2:B2967,2,FALSE)</f>
        <v/>
      </c>
    </row>
    <row r="5388">
      <c r="A5388" t="inlineStr">
        <is>
          <t xml:space="preserve">home owner </t>
        </is>
      </c>
      <c r="B5388">
        <f>VLOOKUP(3188,Requirements!A2:B2967,2,FALSE)</f>
        <v/>
      </c>
    </row>
    <row r="5389">
      <c r="A5389" t="inlineStr">
        <is>
          <t xml:space="preserve">home owner </t>
        </is>
      </c>
      <c r="B5389">
        <f>VLOOKUP(3189,Requirements!A2:B2967,2,FALSE)</f>
        <v/>
      </c>
    </row>
    <row r="5390">
      <c r="A5390" t="inlineStr">
        <is>
          <t xml:space="preserve">home owner </t>
        </is>
      </c>
      <c r="B5390">
        <f>VLOOKUP(3192,Requirements!A2:B2967,2,FALSE)</f>
        <v/>
      </c>
    </row>
    <row r="5391">
      <c r="A5391" t="inlineStr">
        <is>
          <t xml:space="preserve">home owner </t>
        </is>
      </c>
      <c r="B5391">
        <f>VLOOKUP(3195,Requirements!A2:B2967,2,FALSE)</f>
        <v/>
      </c>
    </row>
    <row r="5392">
      <c r="A5392" t="inlineStr">
        <is>
          <t xml:space="preserve">home owner </t>
        </is>
      </c>
      <c r="B5392">
        <f>VLOOKUP(3201,Requirements!A2:B2967,2,FALSE)</f>
        <v/>
      </c>
    </row>
    <row r="5393">
      <c r="A5393" t="inlineStr">
        <is>
          <t xml:space="preserve">home owner </t>
        </is>
      </c>
      <c r="B5393">
        <f>VLOOKUP(3204,Requirements!A2:B2967,2,FALSE)</f>
        <v/>
      </c>
    </row>
    <row r="5394">
      <c r="A5394" t="inlineStr">
        <is>
          <t xml:space="preserve">home owner </t>
        </is>
      </c>
      <c r="B5394">
        <f>VLOOKUP(3213,Requirements!A2:B2967,2,FALSE)</f>
        <v/>
      </c>
    </row>
    <row r="5395">
      <c r="A5395" t="inlineStr">
        <is>
          <t xml:space="preserve">home owner </t>
        </is>
      </c>
      <c r="B5395">
        <f>VLOOKUP(3224,Requirements!A2:B2967,2,FALSE)</f>
        <v/>
      </c>
    </row>
    <row r="5396">
      <c r="A5396" t="inlineStr">
        <is>
          <t xml:space="preserve">home owner </t>
        </is>
      </c>
      <c r="B5396">
        <f>VLOOKUP(3228,Requirements!A2:B2967,2,FALSE)</f>
        <v/>
      </c>
    </row>
    <row r="5397">
      <c r="A5397" t="inlineStr">
        <is>
          <t xml:space="preserve">home owner </t>
        </is>
      </c>
      <c r="B5397">
        <f>VLOOKUP(3231,Requirements!A2:B2967,2,FALSE)</f>
        <v/>
      </c>
    </row>
    <row r="5398">
      <c r="A5398" t="inlineStr">
        <is>
          <t xml:space="preserve">home owner </t>
        </is>
      </c>
      <c r="B5398">
        <f>VLOOKUP(3233,Requirements!A2:B2967,2,FALSE)</f>
        <v/>
      </c>
    </row>
    <row r="5399">
      <c r="A5399" t="inlineStr">
        <is>
          <t xml:space="preserve">home owner </t>
        </is>
      </c>
      <c r="B5399">
        <f>VLOOKUP(3234,Requirements!A2:B2967,2,FALSE)</f>
        <v/>
      </c>
    </row>
    <row r="5400">
      <c r="A5400" t="inlineStr">
        <is>
          <t xml:space="preserve">home owner </t>
        </is>
      </c>
      <c r="B5400">
        <f>VLOOKUP(3235,Requirements!A2:B2967,2,FALSE)</f>
        <v/>
      </c>
    </row>
    <row r="5401">
      <c r="A5401" t="inlineStr">
        <is>
          <t xml:space="preserve">home owner </t>
        </is>
      </c>
      <c r="B5401">
        <f>VLOOKUP(3238,Requirements!A2:B2967,2,FALSE)</f>
        <v/>
      </c>
    </row>
    <row r="5402">
      <c r="A5402" t="inlineStr">
        <is>
          <t xml:space="preserve">home owner </t>
        </is>
      </c>
      <c r="B5402">
        <f>VLOOKUP(3240,Requirements!A2:B2967,2,FALSE)</f>
        <v/>
      </c>
    </row>
    <row r="5403">
      <c r="A5403" t="inlineStr">
        <is>
          <t xml:space="preserve">home owner </t>
        </is>
      </c>
      <c r="B5403">
        <f>VLOOKUP(3242,Requirements!A2:B2967,2,FALSE)</f>
        <v/>
      </c>
    </row>
    <row r="5404">
      <c r="A5404" t="inlineStr">
        <is>
          <t xml:space="preserve">home owner </t>
        </is>
      </c>
      <c r="B5404">
        <f>VLOOKUP(3249,Requirements!A2:B2967,2,FALSE)</f>
        <v/>
      </c>
    </row>
    <row r="5405">
      <c r="A5405" t="inlineStr">
        <is>
          <t xml:space="preserve">home owner </t>
        </is>
      </c>
      <c r="B5405">
        <f>VLOOKUP(3268,Requirements!A2:B2967,2,FALSE)</f>
        <v/>
      </c>
    </row>
    <row r="5406">
      <c r="A5406" t="inlineStr">
        <is>
          <t xml:space="preserve">home owner </t>
        </is>
      </c>
      <c r="B5406">
        <f>VLOOKUP(3269,Requirements!A2:B2967,2,FALSE)</f>
        <v/>
      </c>
    </row>
    <row r="5407">
      <c r="A5407" t="inlineStr">
        <is>
          <t xml:space="preserve">home owner </t>
        </is>
      </c>
      <c r="B5407">
        <f>VLOOKUP(3275,Requirements!A2:B2967,2,FALSE)</f>
        <v/>
      </c>
    </row>
    <row r="5408">
      <c r="A5408" t="inlineStr">
        <is>
          <t xml:space="preserve">monitor </t>
        </is>
      </c>
      <c r="B5408">
        <f>VLOOKUP(37,Requirements!A2:B2967,2,FALSE)</f>
        <v/>
      </c>
    </row>
    <row r="5409">
      <c r="A5409" t="inlineStr">
        <is>
          <t xml:space="preserve">monitor </t>
        </is>
      </c>
      <c r="B5409">
        <f>VLOOKUP(69,Requirements!A2:B2967,2,FALSE)</f>
        <v/>
      </c>
    </row>
    <row r="5410">
      <c r="A5410" t="inlineStr">
        <is>
          <t xml:space="preserve">monitor </t>
        </is>
      </c>
      <c r="B5410">
        <f>VLOOKUP(100,Requirements!A2:B2967,2,FALSE)</f>
        <v/>
      </c>
    </row>
    <row r="5411">
      <c r="A5411" t="inlineStr">
        <is>
          <t xml:space="preserve">monitor </t>
        </is>
      </c>
      <c r="B5411">
        <f>VLOOKUP(258,Requirements!A2:B2967,2,FALSE)</f>
        <v/>
      </c>
    </row>
    <row r="5412">
      <c r="A5412" t="inlineStr">
        <is>
          <t xml:space="preserve">monitor </t>
        </is>
      </c>
      <c r="B5412">
        <f>VLOOKUP(259,Requirements!A2:B2967,2,FALSE)</f>
        <v/>
      </c>
    </row>
    <row r="5413">
      <c r="A5413" t="inlineStr">
        <is>
          <t xml:space="preserve">monitor </t>
        </is>
      </c>
      <c r="B5413">
        <f>VLOOKUP(349,Requirements!A2:B2967,2,FALSE)</f>
        <v/>
      </c>
    </row>
    <row r="5414">
      <c r="A5414" t="inlineStr">
        <is>
          <t xml:space="preserve">monitor </t>
        </is>
      </c>
      <c r="B5414">
        <f>VLOOKUP(422,Requirements!A2:B2967,2,FALSE)</f>
        <v/>
      </c>
    </row>
    <row r="5415">
      <c r="A5415" t="inlineStr">
        <is>
          <t xml:space="preserve">monitor </t>
        </is>
      </c>
      <c r="B5415">
        <f>VLOOKUP(423,Requirements!A2:B2967,2,FALSE)</f>
        <v/>
      </c>
    </row>
    <row r="5416">
      <c r="A5416" t="inlineStr">
        <is>
          <t xml:space="preserve">monitor </t>
        </is>
      </c>
      <c r="B5416">
        <f>VLOOKUP(435,Requirements!A2:B2967,2,FALSE)</f>
        <v/>
      </c>
    </row>
    <row r="5417">
      <c r="A5417" t="inlineStr">
        <is>
          <t xml:space="preserve">monitor </t>
        </is>
      </c>
      <c r="B5417">
        <f>VLOOKUP(451,Requirements!A2:B2967,2,FALSE)</f>
        <v/>
      </c>
    </row>
    <row r="5418">
      <c r="A5418" t="inlineStr">
        <is>
          <t xml:space="preserve">monitor </t>
        </is>
      </c>
      <c r="B5418">
        <f>VLOOKUP(488,Requirements!A2:B2967,2,FALSE)</f>
        <v/>
      </c>
    </row>
    <row r="5419">
      <c r="A5419" t="inlineStr">
        <is>
          <t xml:space="preserve">monitor </t>
        </is>
      </c>
      <c r="B5419">
        <f>VLOOKUP(516,Requirements!A2:B2967,2,FALSE)</f>
        <v/>
      </c>
    </row>
    <row r="5420">
      <c r="A5420" t="inlineStr">
        <is>
          <t xml:space="preserve">monitor </t>
        </is>
      </c>
      <c r="B5420">
        <f>VLOOKUP(524,Requirements!A2:B2967,2,FALSE)</f>
        <v/>
      </c>
    </row>
    <row r="5421">
      <c r="A5421" t="inlineStr">
        <is>
          <t xml:space="preserve">monitor </t>
        </is>
      </c>
      <c r="B5421">
        <f>VLOOKUP(584,Requirements!A2:B2967,2,FALSE)</f>
        <v/>
      </c>
    </row>
    <row r="5422">
      <c r="A5422" t="inlineStr">
        <is>
          <t xml:space="preserve">monitor </t>
        </is>
      </c>
      <c r="B5422">
        <f>VLOOKUP(637,Requirements!A2:B2967,2,FALSE)</f>
        <v/>
      </c>
    </row>
    <row r="5423">
      <c r="A5423" t="inlineStr">
        <is>
          <t xml:space="preserve">monitor </t>
        </is>
      </c>
      <c r="B5423">
        <f>VLOOKUP(674,Requirements!A2:B2967,2,FALSE)</f>
        <v/>
      </c>
    </row>
    <row r="5424">
      <c r="A5424" t="inlineStr">
        <is>
          <t xml:space="preserve">monitor </t>
        </is>
      </c>
      <c r="B5424">
        <f>VLOOKUP(676,Requirements!A2:B2967,2,FALSE)</f>
        <v/>
      </c>
    </row>
    <row r="5425">
      <c r="A5425" t="inlineStr">
        <is>
          <t xml:space="preserve">monitor </t>
        </is>
      </c>
      <c r="B5425">
        <f>VLOOKUP(756,Requirements!A2:B2967,2,FALSE)</f>
        <v/>
      </c>
    </row>
    <row r="5426">
      <c r="A5426" t="inlineStr">
        <is>
          <t xml:space="preserve">monitor </t>
        </is>
      </c>
      <c r="B5426">
        <f>VLOOKUP(805,Requirements!A2:B2967,2,FALSE)</f>
        <v/>
      </c>
    </row>
    <row r="5427">
      <c r="A5427" t="inlineStr">
        <is>
          <t xml:space="preserve">monitor </t>
        </is>
      </c>
      <c r="B5427">
        <f>VLOOKUP(806,Requirements!A2:B2967,2,FALSE)</f>
        <v/>
      </c>
    </row>
    <row r="5428">
      <c r="A5428" t="inlineStr">
        <is>
          <t xml:space="preserve">monitor </t>
        </is>
      </c>
      <c r="B5428">
        <f>VLOOKUP(826,Requirements!A2:B2967,2,FALSE)</f>
        <v/>
      </c>
    </row>
    <row r="5429">
      <c r="A5429" t="inlineStr">
        <is>
          <t xml:space="preserve">monitor </t>
        </is>
      </c>
      <c r="B5429">
        <f>VLOOKUP(854,Requirements!A2:B2967,2,FALSE)</f>
        <v/>
      </c>
    </row>
    <row r="5430">
      <c r="A5430" t="inlineStr">
        <is>
          <t xml:space="preserve">monitor </t>
        </is>
      </c>
      <c r="B5430">
        <f>VLOOKUP(894,Requirements!A2:B2967,2,FALSE)</f>
        <v/>
      </c>
    </row>
    <row r="5431">
      <c r="A5431" t="inlineStr">
        <is>
          <t xml:space="preserve">monitor </t>
        </is>
      </c>
      <c r="B5431">
        <f>VLOOKUP(907,Requirements!A2:B2967,2,FALSE)</f>
        <v/>
      </c>
    </row>
    <row r="5432">
      <c r="A5432" t="inlineStr">
        <is>
          <t xml:space="preserve">monitor </t>
        </is>
      </c>
      <c r="B5432">
        <f>VLOOKUP(939,Requirements!A2:B2967,2,FALSE)</f>
        <v/>
      </c>
    </row>
    <row r="5433">
      <c r="A5433" t="inlineStr">
        <is>
          <t xml:space="preserve">monitor </t>
        </is>
      </c>
      <c r="B5433">
        <f>VLOOKUP(957,Requirements!A2:B2967,2,FALSE)</f>
        <v/>
      </c>
    </row>
    <row r="5434">
      <c r="A5434" t="inlineStr">
        <is>
          <t xml:space="preserve">monitor </t>
        </is>
      </c>
      <c r="B5434">
        <f>VLOOKUP(998,Requirements!A2:B2967,2,FALSE)</f>
        <v/>
      </c>
    </row>
    <row r="5435">
      <c r="A5435" t="inlineStr">
        <is>
          <t xml:space="preserve">monitor </t>
        </is>
      </c>
      <c r="B5435">
        <f>VLOOKUP(1046,Requirements!A2:B2967,2,FALSE)</f>
        <v/>
      </c>
    </row>
    <row r="5436">
      <c r="A5436" t="inlineStr">
        <is>
          <t xml:space="preserve">monitor </t>
        </is>
      </c>
      <c r="B5436">
        <f>VLOOKUP(1056,Requirements!A2:B2967,2,FALSE)</f>
        <v/>
      </c>
    </row>
    <row r="5437">
      <c r="A5437" t="inlineStr">
        <is>
          <t xml:space="preserve">monitor </t>
        </is>
      </c>
      <c r="B5437">
        <f>VLOOKUP(1297,Requirements!A2:B2967,2,FALSE)</f>
        <v/>
      </c>
    </row>
    <row r="5438">
      <c r="A5438" t="inlineStr">
        <is>
          <t xml:space="preserve">monitor </t>
        </is>
      </c>
      <c r="B5438">
        <f>VLOOKUP(1462,Requirements!A2:B2967,2,FALSE)</f>
        <v/>
      </c>
    </row>
    <row r="5439">
      <c r="A5439" t="inlineStr">
        <is>
          <t xml:space="preserve">monitor </t>
        </is>
      </c>
      <c r="B5439">
        <f>VLOOKUP(1517,Requirements!A2:B2967,2,FALSE)</f>
        <v/>
      </c>
    </row>
    <row r="5440">
      <c r="A5440" t="inlineStr">
        <is>
          <t xml:space="preserve">monitor </t>
        </is>
      </c>
      <c r="B5440">
        <f>VLOOKUP(1554,Requirements!A2:B2967,2,FALSE)</f>
        <v/>
      </c>
    </row>
    <row r="5441">
      <c r="A5441" t="inlineStr">
        <is>
          <t xml:space="preserve">monitor </t>
        </is>
      </c>
      <c r="B5441">
        <f>VLOOKUP(1560,Requirements!A2:B2967,2,FALSE)</f>
        <v/>
      </c>
    </row>
    <row r="5442">
      <c r="A5442" t="inlineStr">
        <is>
          <t xml:space="preserve">monitor </t>
        </is>
      </c>
      <c r="B5442">
        <f>VLOOKUP(1563,Requirements!A2:B2967,2,FALSE)</f>
        <v/>
      </c>
    </row>
    <row r="5443">
      <c r="A5443" t="inlineStr">
        <is>
          <t xml:space="preserve">monitor </t>
        </is>
      </c>
      <c r="B5443">
        <f>VLOOKUP(1624,Requirements!A2:B2967,2,FALSE)</f>
        <v/>
      </c>
    </row>
    <row r="5444">
      <c r="A5444" t="inlineStr">
        <is>
          <t xml:space="preserve">monitor </t>
        </is>
      </c>
      <c r="B5444">
        <f>VLOOKUP(1649,Requirements!A2:B2967,2,FALSE)</f>
        <v/>
      </c>
    </row>
    <row r="5445">
      <c r="A5445" t="inlineStr">
        <is>
          <t xml:space="preserve">monitor </t>
        </is>
      </c>
      <c r="B5445">
        <f>VLOOKUP(1829,Requirements!A2:B2967,2,FALSE)</f>
        <v/>
      </c>
    </row>
    <row r="5446">
      <c r="A5446" t="inlineStr">
        <is>
          <t xml:space="preserve">monitor </t>
        </is>
      </c>
      <c r="B5446">
        <f>VLOOKUP(1837,Requirements!A2:B2967,2,FALSE)</f>
        <v/>
      </c>
    </row>
    <row r="5447">
      <c r="A5447" t="inlineStr">
        <is>
          <t xml:space="preserve">monitor </t>
        </is>
      </c>
      <c r="B5447">
        <f>VLOOKUP(1884,Requirements!A2:B2967,2,FALSE)</f>
        <v/>
      </c>
    </row>
    <row r="5448">
      <c r="A5448" t="inlineStr">
        <is>
          <t xml:space="preserve">monitor </t>
        </is>
      </c>
      <c r="B5448">
        <f>VLOOKUP(1911,Requirements!A2:B2967,2,FALSE)</f>
        <v/>
      </c>
    </row>
    <row r="5449">
      <c r="A5449" t="inlineStr">
        <is>
          <t xml:space="preserve">monitor </t>
        </is>
      </c>
      <c r="B5449">
        <f>VLOOKUP(2041,Requirements!A2:B2967,2,FALSE)</f>
        <v/>
      </c>
    </row>
    <row r="5450">
      <c r="A5450" t="inlineStr">
        <is>
          <t xml:space="preserve">monitor </t>
        </is>
      </c>
      <c r="B5450">
        <f>VLOOKUP(2070,Requirements!A2:B2967,2,FALSE)</f>
        <v/>
      </c>
    </row>
    <row r="5451">
      <c r="A5451" t="inlineStr">
        <is>
          <t xml:space="preserve">monitor </t>
        </is>
      </c>
      <c r="B5451">
        <f>VLOOKUP(2075,Requirements!A2:B2967,2,FALSE)</f>
        <v/>
      </c>
    </row>
    <row r="5452">
      <c r="A5452" t="inlineStr">
        <is>
          <t xml:space="preserve">monitor </t>
        </is>
      </c>
      <c r="B5452">
        <f>VLOOKUP(2116,Requirements!A2:B2967,2,FALSE)</f>
        <v/>
      </c>
    </row>
    <row r="5453">
      <c r="A5453" t="inlineStr">
        <is>
          <t xml:space="preserve">monitor </t>
        </is>
      </c>
      <c r="B5453">
        <f>VLOOKUP(2120,Requirements!A2:B2967,2,FALSE)</f>
        <v/>
      </c>
    </row>
    <row r="5454">
      <c r="A5454" t="inlineStr">
        <is>
          <t xml:space="preserve">monitor </t>
        </is>
      </c>
      <c r="B5454">
        <f>VLOOKUP(2137,Requirements!A2:B2967,2,FALSE)</f>
        <v/>
      </c>
    </row>
    <row r="5455">
      <c r="A5455" t="inlineStr">
        <is>
          <t xml:space="preserve">monitor </t>
        </is>
      </c>
      <c r="B5455">
        <f>VLOOKUP(2336,Requirements!A2:B2967,2,FALSE)</f>
        <v/>
      </c>
    </row>
    <row r="5456">
      <c r="A5456" t="inlineStr">
        <is>
          <t xml:space="preserve">monitor </t>
        </is>
      </c>
      <c r="B5456">
        <f>VLOOKUP(2390,Requirements!A2:B2967,2,FALSE)</f>
        <v/>
      </c>
    </row>
    <row r="5457">
      <c r="A5457" t="inlineStr">
        <is>
          <t xml:space="preserve">monitor </t>
        </is>
      </c>
      <c r="B5457">
        <f>VLOOKUP(2392,Requirements!A2:B2967,2,FALSE)</f>
        <v/>
      </c>
    </row>
    <row r="5458">
      <c r="A5458" t="inlineStr">
        <is>
          <t xml:space="preserve">monitor </t>
        </is>
      </c>
      <c r="B5458">
        <f>VLOOKUP(2405,Requirements!A2:B2967,2,FALSE)</f>
        <v/>
      </c>
    </row>
    <row r="5459">
      <c r="A5459" t="inlineStr">
        <is>
          <t xml:space="preserve">monitor </t>
        </is>
      </c>
      <c r="B5459">
        <f>VLOOKUP(2485,Requirements!A2:B2967,2,FALSE)</f>
        <v/>
      </c>
    </row>
    <row r="5460">
      <c r="A5460" t="inlineStr">
        <is>
          <t xml:space="preserve">monitor </t>
        </is>
      </c>
      <c r="B5460">
        <f>VLOOKUP(2487,Requirements!A2:B2967,2,FALSE)</f>
        <v/>
      </c>
    </row>
    <row r="5461">
      <c r="A5461" t="inlineStr">
        <is>
          <t xml:space="preserve">monitor </t>
        </is>
      </c>
      <c r="B5461">
        <f>VLOOKUP(2492,Requirements!A2:B2967,2,FALSE)</f>
        <v/>
      </c>
    </row>
    <row r="5462">
      <c r="A5462" t="inlineStr">
        <is>
          <t xml:space="preserve">monitor </t>
        </is>
      </c>
      <c r="B5462">
        <f>VLOOKUP(2515,Requirements!A2:B2967,2,FALSE)</f>
        <v/>
      </c>
    </row>
    <row r="5463">
      <c r="A5463" t="inlineStr">
        <is>
          <t xml:space="preserve">monitor </t>
        </is>
      </c>
      <c r="B5463">
        <f>VLOOKUP(2556,Requirements!A2:B2967,2,FALSE)</f>
        <v/>
      </c>
    </row>
    <row r="5464">
      <c r="A5464" t="inlineStr">
        <is>
          <t xml:space="preserve">monitor </t>
        </is>
      </c>
      <c r="B5464">
        <f>VLOOKUP(2654,Requirements!A2:B2967,2,FALSE)</f>
        <v/>
      </c>
    </row>
    <row r="5465">
      <c r="A5465" t="inlineStr">
        <is>
          <t xml:space="preserve">monitor </t>
        </is>
      </c>
      <c r="B5465">
        <f>VLOOKUP(2656,Requirements!A2:B2967,2,FALSE)</f>
        <v/>
      </c>
    </row>
    <row r="5466">
      <c r="A5466" t="inlineStr">
        <is>
          <t xml:space="preserve">monitor </t>
        </is>
      </c>
      <c r="B5466">
        <f>VLOOKUP(2700,Requirements!A2:B2967,2,FALSE)</f>
        <v/>
      </c>
    </row>
    <row r="5467">
      <c r="A5467" t="inlineStr">
        <is>
          <t xml:space="preserve">monitor </t>
        </is>
      </c>
      <c r="B5467">
        <f>VLOOKUP(2718,Requirements!A2:B2967,2,FALSE)</f>
        <v/>
      </c>
    </row>
    <row r="5468">
      <c r="A5468" t="inlineStr">
        <is>
          <t xml:space="preserve">monitor </t>
        </is>
      </c>
      <c r="B5468">
        <f>VLOOKUP(2758,Requirements!A2:B2967,2,FALSE)</f>
        <v/>
      </c>
    </row>
    <row r="5469">
      <c r="A5469" t="inlineStr">
        <is>
          <t xml:space="preserve">monitor </t>
        </is>
      </c>
      <c r="B5469">
        <f>VLOOKUP(2765,Requirements!A2:B2967,2,FALSE)</f>
        <v/>
      </c>
    </row>
    <row r="5470">
      <c r="A5470" t="inlineStr">
        <is>
          <t xml:space="preserve">monitor </t>
        </is>
      </c>
      <c r="B5470">
        <f>VLOOKUP(2785,Requirements!A2:B2967,2,FALSE)</f>
        <v/>
      </c>
    </row>
    <row r="5471">
      <c r="A5471" t="inlineStr">
        <is>
          <t xml:space="preserve">monitor </t>
        </is>
      </c>
      <c r="B5471">
        <f>VLOOKUP(2833,Requirements!A2:B2967,2,FALSE)</f>
        <v/>
      </c>
    </row>
    <row r="5472">
      <c r="A5472" t="inlineStr">
        <is>
          <t xml:space="preserve">monitor </t>
        </is>
      </c>
      <c r="B5472">
        <f>VLOOKUP(2845,Requirements!A2:B2967,2,FALSE)</f>
        <v/>
      </c>
    </row>
    <row r="5473">
      <c r="A5473" t="inlineStr">
        <is>
          <t xml:space="preserve">monitor </t>
        </is>
      </c>
      <c r="B5473">
        <f>VLOOKUP(2892,Requirements!A2:B2967,2,FALSE)</f>
        <v/>
      </c>
    </row>
    <row r="5474">
      <c r="A5474" t="inlineStr">
        <is>
          <t xml:space="preserve">monitor </t>
        </is>
      </c>
      <c r="B5474">
        <f>VLOOKUP(2899,Requirements!A2:B2967,2,FALSE)</f>
        <v/>
      </c>
    </row>
    <row r="5475">
      <c r="A5475" t="inlineStr">
        <is>
          <t xml:space="preserve">monitor </t>
        </is>
      </c>
      <c r="B5475">
        <f>VLOOKUP(2916,Requirements!A2:B2967,2,FALSE)</f>
        <v/>
      </c>
    </row>
    <row r="5476">
      <c r="A5476" t="inlineStr">
        <is>
          <t xml:space="preserve">monitor </t>
        </is>
      </c>
      <c r="B5476">
        <f>VLOOKUP(2934,Requirements!A2:B2967,2,FALSE)</f>
        <v/>
      </c>
    </row>
    <row r="5477">
      <c r="A5477" t="inlineStr">
        <is>
          <t xml:space="preserve">monitor </t>
        </is>
      </c>
      <c r="B5477">
        <f>VLOOKUP(3004,Requirements!A2:B2967,2,FALSE)</f>
        <v/>
      </c>
    </row>
    <row r="5478">
      <c r="A5478" t="inlineStr">
        <is>
          <t xml:space="preserve">monitor </t>
        </is>
      </c>
      <c r="B5478">
        <f>VLOOKUP(3010,Requirements!A2:B2967,2,FALSE)</f>
        <v/>
      </c>
    </row>
    <row r="5479">
      <c r="A5479" t="inlineStr">
        <is>
          <t xml:space="preserve">monitor </t>
        </is>
      </c>
      <c r="B5479">
        <f>VLOOKUP(3239,Requirements!A2:B2967,2,FALSE)</f>
        <v/>
      </c>
    </row>
    <row r="5480">
      <c r="A5480" t="inlineStr">
        <is>
          <t xml:space="preserve">energy use </t>
        </is>
      </c>
      <c r="B5480">
        <f>VLOOKUP(37,Requirements!A2:B2967,2,FALSE)</f>
        <v/>
      </c>
    </row>
    <row r="5481">
      <c r="A5481" t="inlineStr">
        <is>
          <t xml:space="preserve">energy use </t>
        </is>
      </c>
      <c r="B5481">
        <f>VLOOKUP(541,Requirements!A2:B2967,2,FALSE)</f>
        <v/>
      </c>
    </row>
    <row r="5482">
      <c r="A5482" t="inlineStr">
        <is>
          <t xml:space="preserve">energy use </t>
        </is>
      </c>
      <c r="B5482">
        <f>VLOOKUP(2120,Requirements!A2:B2967,2,FALSE)</f>
        <v/>
      </c>
    </row>
    <row r="5483">
      <c r="A5483" t="inlineStr">
        <is>
          <t xml:space="preserve">energy use </t>
        </is>
      </c>
      <c r="B5483">
        <f>VLOOKUP(2500,Requirements!A2:B2967,2,FALSE)</f>
        <v/>
      </c>
    </row>
    <row r="5484">
      <c r="A5484" t="inlineStr">
        <is>
          <t xml:space="preserve">energy use </t>
        </is>
      </c>
      <c r="B5484">
        <f>VLOOKUP(2563,Requirements!A2:B2967,2,FALSE)</f>
        <v/>
      </c>
    </row>
    <row r="5485">
      <c r="A5485" t="inlineStr">
        <is>
          <t xml:space="preserve">energy use </t>
        </is>
      </c>
      <c r="B5485">
        <f>VLOOKUP(3266,Requirements!A2:B2967,2,FALSE)</f>
        <v/>
      </c>
    </row>
    <row r="5486">
      <c r="A5486" t="inlineStr">
        <is>
          <t xml:space="preserve">energy consumption </t>
        </is>
      </c>
      <c r="B5486">
        <f>VLOOKUP(37,Requirements!A2:B2967,2,FALSE)</f>
        <v/>
      </c>
    </row>
    <row r="5487">
      <c r="A5487" t="inlineStr">
        <is>
          <t xml:space="preserve">energy consumption </t>
        </is>
      </c>
      <c r="B5487">
        <f>VLOOKUP(72,Requirements!A2:B2967,2,FALSE)</f>
        <v/>
      </c>
    </row>
    <row r="5488">
      <c r="A5488" t="inlineStr">
        <is>
          <t xml:space="preserve">energy consumption </t>
        </is>
      </c>
      <c r="B5488">
        <f>VLOOKUP(580,Requirements!A2:B2967,2,FALSE)</f>
        <v/>
      </c>
    </row>
    <row r="5489">
      <c r="A5489" t="inlineStr">
        <is>
          <t xml:space="preserve">energy consumption </t>
        </is>
      </c>
      <c r="B5489">
        <f>VLOOKUP(581,Requirements!A2:B2967,2,FALSE)</f>
        <v/>
      </c>
    </row>
    <row r="5490">
      <c r="A5490" t="inlineStr">
        <is>
          <t xml:space="preserve">energy consumption </t>
        </is>
      </c>
      <c r="B5490">
        <f>VLOOKUP(1123,Requirements!A2:B2967,2,FALSE)</f>
        <v/>
      </c>
    </row>
    <row r="5491">
      <c r="A5491" t="inlineStr">
        <is>
          <t xml:space="preserve">energy consumption </t>
        </is>
      </c>
      <c r="B5491">
        <f>VLOOKUP(1581,Requirements!A2:B2967,2,FALSE)</f>
        <v/>
      </c>
    </row>
    <row r="5492">
      <c r="A5492" t="inlineStr">
        <is>
          <t xml:space="preserve">energy consumption </t>
        </is>
      </c>
      <c r="B5492">
        <f>VLOOKUP(1678,Requirements!A2:B2967,2,FALSE)</f>
        <v/>
      </c>
    </row>
    <row r="5493">
      <c r="A5493" t="inlineStr">
        <is>
          <t xml:space="preserve">energy consumption </t>
        </is>
      </c>
      <c r="B5493">
        <f>VLOOKUP(1690,Requirements!A2:B2967,2,FALSE)</f>
        <v/>
      </c>
    </row>
    <row r="5494">
      <c r="A5494" t="inlineStr">
        <is>
          <t xml:space="preserve">energy consumption </t>
        </is>
      </c>
      <c r="B5494">
        <f>VLOOKUP(2947,Requirements!A2:B2967,2,FALSE)</f>
        <v/>
      </c>
    </row>
    <row r="5495">
      <c r="A5495" t="inlineStr">
        <is>
          <t xml:space="preserve">money </t>
        </is>
      </c>
      <c r="B5495">
        <f>VLOOKUP(37,Requirements!A2:B2967,2,FALSE)</f>
        <v/>
      </c>
    </row>
    <row r="5496">
      <c r="A5496" t="inlineStr">
        <is>
          <t xml:space="preserve">money </t>
        </is>
      </c>
      <c r="B5496">
        <f>VLOOKUP(39,Requirements!A2:B2967,2,FALSE)</f>
        <v/>
      </c>
    </row>
    <row r="5497">
      <c r="A5497" t="inlineStr">
        <is>
          <t xml:space="preserve">money </t>
        </is>
      </c>
      <c r="B5497">
        <f>VLOOKUP(67,Requirements!A2:B2967,2,FALSE)</f>
        <v/>
      </c>
    </row>
    <row r="5498">
      <c r="A5498" t="inlineStr">
        <is>
          <t xml:space="preserve">money </t>
        </is>
      </c>
      <c r="B5498">
        <f>VLOOKUP(72,Requirements!A2:B2967,2,FALSE)</f>
        <v/>
      </c>
    </row>
    <row r="5499">
      <c r="A5499" t="inlineStr">
        <is>
          <t xml:space="preserve">money </t>
        </is>
      </c>
      <c r="B5499">
        <f>VLOOKUP(178,Requirements!A2:B2967,2,FALSE)</f>
        <v/>
      </c>
    </row>
    <row r="5500">
      <c r="A5500" t="inlineStr">
        <is>
          <t xml:space="preserve">money </t>
        </is>
      </c>
      <c r="B5500">
        <f>VLOOKUP(194,Requirements!A2:B2967,2,FALSE)</f>
        <v/>
      </c>
    </row>
    <row r="5501">
      <c r="A5501" t="inlineStr">
        <is>
          <t xml:space="preserve">money </t>
        </is>
      </c>
      <c r="B5501">
        <f>VLOOKUP(195,Requirements!A2:B2967,2,FALSE)</f>
        <v/>
      </c>
    </row>
    <row r="5502">
      <c r="A5502" t="inlineStr">
        <is>
          <t xml:space="preserve">money </t>
        </is>
      </c>
      <c r="B5502">
        <f>VLOOKUP(226,Requirements!A2:B2967,2,FALSE)</f>
        <v/>
      </c>
    </row>
    <row r="5503">
      <c r="A5503" t="inlineStr">
        <is>
          <t xml:space="preserve">money </t>
        </is>
      </c>
      <c r="B5503">
        <f>VLOOKUP(283,Requirements!A2:B2967,2,FALSE)</f>
        <v/>
      </c>
    </row>
    <row r="5504">
      <c r="A5504" t="inlineStr">
        <is>
          <t xml:space="preserve">money </t>
        </is>
      </c>
      <c r="B5504">
        <f>VLOOKUP(311,Requirements!A2:B2967,2,FALSE)</f>
        <v/>
      </c>
    </row>
    <row r="5505">
      <c r="A5505" t="inlineStr">
        <is>
          <t xml:space="preserve">money </t>
        </is>
      </c>
      <c r="B5505">
        <f>VLOOKUP(352,Requirements!A2:B2967,2,FALSE)</f>
        <v/>
      </c>
    </row>
    <row r="5506">
      <c r="A5506" t="inlineStr">
        <is>
          <t xml:space="preserve">money </t>
        </is>
      </c>
      <c r="B5506">
        <f>VLOOKUP(409,Requirements!A2:B2967,2,FALSE)</f>
        <v/>
      </c>
    </row>
    <row r="5507">
      <c r="A5507" t="inlineStr">
        <is>
          <t xml:space="preserve">money </t>
        </is>
      </c>
      <c r="B5507">
        <f>VLOOKUP(443,Requirements!A2:B2967,2,FALSE)</f>
        <v/>
      </c>
    </row>
    <row r="5508">
      <c r="A5508" t="inlineStr">
        <is>
          <t xml:space="preserve">money </t>
        </is>
      </c>
      <c r="B5508">
        <f>VLOOKUP(478,Requirements!A2:B2967,2,FALSE)</f>
        <v/>
      </c>
    </row>
    <row r="5509">
      <c r="A5509" t="inlineStr">
        <is>
          <t xml:space="preserve">money </t>
        </is>
      </c>
      <c r="B5509">
        <f>VLOOKUP(535,Requirements!A2:B2967,2,FALSE)</f>
        <v/>
      </c>
    </row>
    <row r="5510">
      <c r="A5510" t="inlineStr">
        <is>
          <t xml:space="preserve">money </t>
        </is>
      </c>
      <c r="B5510">
        <f>VLOOKUP(613,Requirements!A2:B2967,2,FALSE)</f>
        <v/>
      </c>
    </row>
    <row r="5511">
      <c r="A5511" t="inlineStr">
        <is>
          <t xml:space="preserve">money </t>
        </is>
      </c>
      <c r="B5511">
        <f>VLOOKUP(622,Requirements!A2:B2967,2,FALSE)</f>
        <v/>
      </c>
    </row>
    <row r="5512">
      <c r="A5512" t="inlineStr">
        <is>
          <t xml:space="preserve">money </t>
        </is>
      </c>
      <c r="B5512">
        <f>VLOOKUP(627,Requirements!A2:B2967,2,FALSE)</f>
        <v/>
      </c>
    </row>
    <row r="5513">
      <c r="A5513" t="inlineStr">
        <is>
          <t xml:space="preserve">money </t>
        </is>
      </c>
      <c r="B5513">
        <f>VLOOKUP(639,Requirements!A2:B2967,2,FALSE)</f>
        <v/>
      </c>
    </row>
    <row r="5514">
      <c r="A5514" t="inlineStr">
        <is>
          <t xml:space="preserve">money </t>
        </is>
      </c>
      <c r="B5514">
        <f>VLOOKUP(678,Requirements!A2:B2967,2,FALSE)</f>
        <v/>
      </c>
    </row>
    <row r="5515">
      <c r="A5515" t="inlineStr">
        <is>
          <t xml:space="preserve">money </t>
        </is>
      </c>
      <c r="B5515">
        <f>VLOOKUP(686,Requirements!A2:B2967,2,FALSE)</f>
        <v/>
      </c>
    </row>
    <row r="5516">
      <c r="A5516" t="inlineStr">
        <is>
          <t xml:space="preserve">money </t>
        </is>
      </c>
      <c r="B5516">
        <f>VLOOKUP(711,Requirements!A2:B2967,2,FALSE)</f>
        <v/>
      </c>
    </row>
    <row r="5517">
      <c r="A5517" t="inlineStr">
        <is>
          <t xml:space="preserve">money </t>
        </is>
      </c>
      <c r="B5517">
        <f>VLOOKUP(713,Requirements!A2:B2967,2,FALSE)</f>
        <v/>
      </c>
    </row>
    <row r="5518">
      <c r="A5518" t="inlineStr">
        <is>
          <t xml:space="preserve">money </t>
        </is>
      </c>
      <c r="B5518">
        <f>VLOOKUP(739,Requirements!A2:B2967,2,FALSE)</f>
        <v/>
      </c>
    </row>
    <row r="5519">
      <c r="A5519" t="inlineStr">
        <is>
          <t xml:space="preserve">money </t>
        </is>
      </c>
      <c r="B5519">
        <f>VLOOKUP(961,Requirements!A2:B2967,2,FALSE)</f>
        <v/>
      </c>
    </row>
    <row r="5520">
      <c r="A5520" t="inlineStr">
        <is>
          <t xml:space="preserve">money </t>
        </is>
      </c>
      <c r="B5520">
        <f>VLOOKUP(994,Requirements!A2:B2967,2,FALSE)</f>
        <v/>
      </c>
    </row>
    <row r="5521">
      <c r="A5521" t="inlineStr">
        <is>
          <t xml:space="preserve">money </t>
        </is>
      </c>
      <c r="B5521">
        <f>VLOOKUP(1028,Requirements!A2:B2967,2,FALSE)</f>
        <v/>
      </c>
    </row>
    <row r="5522">
      <c r="A5522" t="inlineStr">
        <is>
          <t xml:space="preserve">money </t>
        </is>
      </c>
      <c r="B5522">
        <f>VLOOKUP(1073,Requirements!A2:B2967,2,FALSE)</f>
        <v/>
      </c>
    </row>
    <row r="5523">
      <c r="A5523" t="inlineStr">
        <is>
          <t xml:space="preserve">money </t>
        </is>
      </c>
      <c r="B5523">
        <f>VLOOKUP(1083,Requirements!A2:B2967,2,FALSE)</f>
        <v/>
      </c>
    </row>
    <row r="5524">
      <c r="A5524" t="inlineStr">
        <is>
          <t xml:space="preserve">money </t>
        </is>
      </c>
      <c r="B5524">
        <f>VLOOKUP(1086,Requirements!A2:B2967,2,FALSE)</f>
        <v/>
      </c>
    </row>
    <row r="5525">
      <c r="A5525" t="inlineStr">
        <is>
          <t xml:space="preserve">money </t>
        </is>
      </c>
      <c r="B5525">
        <f>VLOOKUP(1141,Requirements!A2:B2967,2,FALSE)</f>
        <v/>
      </c>
    </row>
    <row r="5526">
      <c r="A5526" t="inlineStr">
        <is>
          <t xml:space="preserve">money </t>
        </is>
      </c>
      <c r="B5526">
        <f>VLOOKUP(1158,Requirements!A2:B2967,2,FALSE)</f>
        <v/>
      </c>
    </row>
    <row r="5527">
      <c r="A5527" t="inlineStr">
        <is>
          <t xml:space="preserve">money </t>
        </is>
      </c>
      <c r="B5527">
        <f>VLOOKUP(1162,Requirements!A2:B2967,2,FALSE)</f>
        <v/>
      </c>
    </row>
    <row r="5528">
      <c r="A5528" t="inlineStr">
        <is>
          <t xml:space="preserve">money </t>
        </is>
      </c>
      <c r="B5528">
        <f>VLOOKUP(1259,Requirements!A2:B2967,2,FALSE)</f>
        <v/>
      </c>
    </row>
    <row r="5529">
      <c r="A5529" t="inlineStr">
        <is>
          <t xml:space="preserve">money </t>
        </is>
      </c>
      <c r="B5529">
        <f>VLOOKUP(1323,Requirements!A2:B2967,2,FALSE)</f>
        <v/>
      </c>
    </row>
    <row r="5530">
      <c r="A5530" t="inlineStr">
        <is>
          <t xml:space="preserve">money </t>
        </is>
      </c>
      <c r="B5530">
        <f>VLOOKUP(1380,Requirements!A2:B2967,2,FALSE)</f>
        <v/>
      </c>
    </row>
    <row r="5531">
      <c r="A5531" t="inlineStr">
        <is>
          <t xml:space="preserve">money </t>
        </is>
      </c>
      <c r="B5531">
        <f>VLOOKUP(1382,Requirements!A2:B2967,2,FALSE)</f>
        <v/>
      </c>
    </row>
    <row r="5532">
      <c r="A5532" t="inlineStr">
        <is>
          <t xml:space="preserve">money </t>
        </is>
      </c>
      <c r="B5532">
        <f>VLOOKUP(1419,Requirements!A2:B2967,2,FALSE)</f>
        <v/>
      </c>
    </row>
    <row r="5533">
      <c r="A5533" t="inlineStr">
        <is>
          <t xml:space="preserve">money </t>
        </is>
      </c>
      <c r="B5533">
        <f>VLOOKUP(1496,Requirements!A2:B2967,2,FALSE)</f>
        <v/>
      </c>
    </row>
    <row r="5534">
      <c r="A5534" t="inlineStr">
        <is>
          <t xml:space="preserve">money </t>
        </is>
      </c>
      <c r="B5534">
        <f>VLOOKUP(1540,Requirements!A2:B2967,2,FALSE)</f>
        <v/>
      </c>
    </row>
    <row r="5535">
      <c r="A5535" t="inlineStr">
        <is>
          <t xml:space="preserve">money </t>
        </is>
      </c>
      <c r="B5535">
        <f>VLOOKUP(1546,Requirements!A2:B2967,2,FALSE)</f>
        <v/>
      </c>
    </row>
    <row r="5536">
      <c r="A5536" t="inlineStr">
        <is>
          <t xml:space="preserve">money </t>
        </is>
      </c>
      <c r="B5536">
        <f>VLOOKUP(1662,Requirements!A2:B2967,2,FALSE)</f>
        <v/>
      </c>
    </row>
    <row r="5537">
      <c r="A5537" t="inlineStr">
        <is>
          <t xml:space="preserve">money </t>
        </is>
      </c>
      <c r="B5537">
        <f>VLOOKUP(1861,Requirements!A2:B2967,2,FALSE)</f>
        <v/>
      </c>
    </row>
    <row r="5538">
      <c r="A5538" t="inlineStr">
        <is>
          <t xml:space="preserve">money </t>
        </is>
      </c>
      <c r="B5538">
        <f>VLOOKUP(1892,Requirements!A2:B2967,2,FALSE)</f>
        <v/>
      </c>
    </row>
    <row r="5539">
      <c r="A5539" t="inlineStr">
        <is>
          <t xml:space="preserve">money </t>
        </is>
      </c>
      <c r="B5539">
        <f>VLOOKUP(1902,Requirements!A2:B2967,2,FALSE)</f>
        <v/>
      </c>
    </row>
    <row r="5540">
      <c r="A5540" t="inlineStr">
        <is>
          <t xml:space="preserve">money </t>
        </is>
      </c>
      <c r="B5540">
        <f>VLOOKUP(1938,Requirements!A2:B2967,2,FALSE)</f>
        <v/>
      </c>
    </row>
    <row r="5541">
      <c r="A5541" t="inlineStr">
        <is>
          <t xml:space="preserve">money </t>
        </is>
      </c>
      <c r="B5541">
        <f>VLOOKUP(1975,Requirements!A2:B2967,2,FALSE)</f>
        <v/>
      </c>
    </row>
    <row r="5542">
      <c r="A5542" t="inlineStr">
        <is>
          <t xml:space="preserve">money </t>
        </is>
      </c>
      <c r="B5542">
        <f>VLOOKUP(1989,Requirements!A2:B2967,2,FALSE)</f>
        <v/>
      </c>
    </row>
    <row r="5543">
      <c r="A5543" t="inlineStr">
        <is>
          <t xml:space="preserve">money </t>
        </is>
      </c>
      <c r="B5543">
        <f>VLOOKUP(2040,Requirements!A2:B2967,2,FALSE)</f>
        <v/>
      </c>
    </row>
    <row r="5544">
      <c r="A5544" t="inlineStr">
        <is>
          <t xml:space="preserve">money </t>
        </is>
      </c>
      <c r="B5544">
        <f>VLOOKUP(2076,Requirements!A2:B2967,2,FALSE)</f>
        <v/>
      </c>
    </row>
    <row r="5545">
      <c r="A5545" t="inlineStr">
        <is>
          <t xml:space="preserve">money </t>
        </is>
      </c>
      <c r="B5545">
        <f>VLOOKUP(2120,Requirements!A2:B2967,2,FALSE)</f>
        <v/>
      </c>
    </row>
    <row r="5546">
      <c r="A5546" t="inlineStr">
        <is>
          <t xml:space="preserve">money </t>
        </is>
      </c>
      <c r="B5546">
        <f>VLOOKUP(2265,Requirements!A2:B2967,2,FALSE)</f>
        <v/>
      </c>
    </row>
    <row r="5547">
      <c r="A5547" t="inlineStr">
        <is>
          <t xml:space="preserve">money </t>
        </is>
      </c>
      <c r="B5547">
        <f>VLOOKUP(2507,Requirements!A2:B2967,2,FALSE)</f>
        <v/>
      </c>
    </row>
    <row r="5548">
      <c r="A5548" t="inlineStr">
        <is>
          <t xml:space="preserve">money </t>
        </is>
      </c>
      <c r="B5548">
        <f>VLOOKUP(2534,Requirements!A2:B2967,2,FALSE)</f>
        <v/>
      </c>
    </row>
    <row r="5549">
      <c r="A5549" t="inlineStr">
        <is>
          <t xml:space="preserve">money </t>
        </is>
      </c>
      <c r="B5549">
        <f>VLOOKUP(2563,Requirements!A2:B2967,2,FALSE)</f>
        <v/>
      </c>
    </row>
    <row r="5550">
      <c r="A5550" t="inlineStr">
        <is>
          <t xml:space="preserve">money </t>
        </is>
      </c>
      <c r="B5550">
        <f>VLOOKUP(2599,Requirements!A2:B2967,2,FALSE)</f>
        <v/>
      </c>
    </row>
    <row r="5551">
      <c r="A5551" t="inlineStr">
        <is>
          <t xml:space="preserve">money </t>
        </is>
      </c>
      <c r="B5551">
        <f>VLOOKUP(2607,Requirements!A2:B2967,2,FALSE)</f>
        <v/>
      </c>
    </row>
    <row r="5552">
      <c r="A5552" t="inlineStr">
        <is>
          <t xml:space="preserve">money </t>
        </is>
      </c>
      <c r="B5552">
        <f>VLOOKUP(2643,Requirements!A2:B2967,2,FALSE)</f>
        <v/>
      </c>
    </row>
    <row r="5553">
      <c r="A5553" t="inlineStr">
        <is>
          <t xml:space="preserve">money </t>
        </is>
      </c>
      <c r="B5553">
        <f>VLOOKUP(2893,Requirements!A2:B2967,2,FALSE)</f>
        <v/>
      </c>
    </row>
    <row r="5554">
      <c r="A5554" t="inlineStr">
        <is>
          <t xml:space="preserve">money </t>
        </is>
      </c>
      <c r="B5554">
        <f>VLOOKUP(2900,Requirements!A2:B2967,2,FALSE)</f>
        <v/>
      </c>
    </row>
    <row r="5555">
      <c r="A5555" t="inlineStr">
        <is>
          <t xml:space="preserve">money </t>
        </is>
      </c>
      <c r="B5555">
        <f>VLOOKUP(2905,Requirements!A2:B2967,2,FALSE)</f>
        <v/>
      </c>
    </row>
    <row r="5556">
      <c r="A5556" t="inlineStr">
        <is>
          <t xml:space="preserve">money </t>
        </is>
      </c>
      <c r="B5556">
        <f>VLOOKUP(2939,Requirements!A2:B2967,2,FALSE)</f>
        <v/>
      </c>
    </row>
    <row r="5557">
      <c r="A5557" t="inlineStr">
        <is>
          <t xml:space="preserve">money </t>
        </is>
      </c>
      <c r="B5557">
        <f>VLOOKUP(3086,Requirements!A2:B2967,2,FALSE)</f>
        <v/>
      </c>
    </row>
    <row r="5558">
      <c r="A5558" t="inlineStr">
        <is>
          <t xml:space="preserve">money </t>
        </is>
      </c>
      <c r="B5558">
        <f>VLOOKUP(3100,Requirements!A2:B2967,2,FALSE)</f>
        <v/>
      </c>
    </row>
    <row r="5559">
      <c r="A5559" t="inlineStr">
        <is>
          <t xml:space="preserve">money </t>
        </is>
      </c>
      <c r="B5559">
        <f>VLOOKUP(3189,Requirements!A2:B2967,2,FALSE)</f>
        <v/>
      </c>
    </row>
    <row r="5560">
      <c r="A5560" t="inlineStr">
        <is>
          <t xml:space="preserve">money </t>
        </is>
      </c>
      <c r="B5560">
        <f>VLOOKUP(3206,Requirements!A2:B2967,2,FALSE)</f>
        <v/>
      </c>
    </row>
    <row r="5561">
      <c r="A5561" t="inlineStr">
        <is>
          <t xml:space="preserve">money </t>
        </is>
      </c>
      <c r="B5561">
        <f>VLOOKUP(3249,Requirements!A2:B2967,2,FALSE)</f>
        <v/>
      </c>
    </row>
    <row r="5562">
      <c r="A5562" t="inlineStr">
        <is>
          <t xml:space="preserve">energy </t>
        </is>
      </c>
      <c r="B5562">
        <f>VLOOKUP(37,Requirements!A2:B2967,2,FALSE)</f>
        <v/>
      </c>
    </row>
    <row r="5563">
      <c r="A5563" t="inlineStr">
        <is>
          <t xml:space="preserve">energy </t>
        </is>
      </c>
      <c r="B5563">
        <f>VLOOKUP(72,Requirements!A2:B2967,2,FALSE)</f>
        <v/>
      </c>
    </row>
    <row r="5564">
      <c r="A5564" t="inlineStr">
        <is>
          <t xml:space="preserve">energy </t>
        </is>
      </c>
      <c r="B5564">
        <f>VLOOKUP(90,Requirements!A2:B2967,2,FALSE)</f>
        <v/>
      </c>
    </row>
    <row r="5565">
      <c r="A5565" t="inlineStr">
        <is>
          <t xml:space="preserve">energy </t>
        </is>
      </c>
      <c r="B5565">
        <f>VLOOKUP(99,Requirements!A2:B2967,2,FALSE)</f>
        <v/>
      </c>
    </row>
    <row r="5566">
      <c r="A5566" t="inlineStr">
        <is>
          <t xml:space="preserve">energy </t>
        </is>
      </c>
      <c r="B5566">
        <f>VLOOKUP(167,Requirements!A2:B2967,2,FALSE)</f>
        <v/>
      </c>
    </row>
    <row r="5567">
      <c r="A5567" t="inlineStr">
        <is>
          <t xml:space="preserve">energy </t>
        </is>
      </c>
      <c r="B5567">
        <f>VLOOKUP(178,Requirements!A2:B2967,2,FALSE)</f>
        <v/>
      </c>
    </row>
    <row r="5568">
      <c r="A5568" t="inlineStr">
        <is>
          <t xml:space="preserve">energy </t>
        </is>
      </c>
      <c r="B5568">
        <f>VLOOKUP(183,Requirements!A2:B2967,2,FALSE)</f>
        <v/>
      </c>
    </row>
    <row r="5569">
      <c r="A5569" t="inlineStr">
        <is>
          <t xml:space="preserve">energy </t>
        </is>
      </c>
      <c r="B5569">
        <f>VLOOKUP(209,Requirements!A2:B2967,2,FALSE)</f>
        <v/>
      </c>
    </row>
    <row r="5570">
      <c r="A5570" t="inlineStr">
        <is>
          <t xml:space="preserve">energy </t>
        </is>
      </c>
      <c r="B5570">
        <f>VLOOKUP(210,Requirements!A2:B2967,2,FALSE)</f>
        <v/>
      </c>
    </row>
    <row r="5571">
      <c r="A5571" t="inlineStr">
        <is>
          <t xml:space="preserve">energy </t>
        </is>
      </c>
      <c r="B5571">
        <f>VLOOKUP(215,Requirements!A2:B2967,2,FALSE)</f>
        <v/>
      </c>
    </row>
    <row r="5572">
      <c r="A5572" t="inlineStr">
        <is>
          <t xml:space="preserve">energy </t>
        </is>
      </c>
      <c r="B5572">
        <f>VLOOKUP(217,Requirements!A2:B2967,2,FALSE)</f>
        <v/>
      </c>
    </row>
    <row r="5573">
      <c r="A5573" t="inlineStr">
        <is>
          <t xml:space="preserve">energy </t>
        </is>
      </c>
      <c r="B5573">
        <f>VLOOKUP(226,Requirements!A2:B2967,2,FALSE)</f>
        <v/>
      </c>
    </row>
    <row r="5574">
      <c r="A5574" t="inlineStr">
        <is>
          <t xml:space="preserve">energy </t>
        </is>
      </c>
      <c r="B5574">
        <f>VLOOKUP(228,Requirements!A2:B2967,2,FALSE)</f>
        <v/>
      </c>
    </row>
    <row r="5575">
      <c r="A5575" t="inlineStr">
        <is>
          <t xml:space="preserve">energy </t>
        </is>
      </c>
      <c r="B5575">
        <f>VLOOKUP(256,Requirements!A2:B2967,2,FALSE)</f>
        <v/>
      </c>
    </row>
    <row r="5576">
      <c r="A5576" t="inlineStr">
        <is>
          <t xml:space="preserve">energy </t>
        </is>
      </c>
      <c r="B5576">
        <f>VLOOKUP(272,Requirements!A2:B2967,2,FALSE)</f>
        <v/>
      </c>
    </row>
    <row r="5577">
      <c r="A5577" t="inlineStr">
        <is>
          <t xml:space="preserve">energy </t>
        </is>
      </c>
      <c r="B5577">
        <f>VLOOKUP(287,Requirements!A2:B2967,2,FALSE)</f>
        <v/>
      </c>
    </row>
    <row r="5578">
      <c r="A5578" t="inlineStr">
        <is>
          <t xml:space="preserve">energy </t>
        </is>
      </c>
      <c r="B5578">
        <f>VLOOKUP(296,Requirements!A2:B2967,2,FALSE)</f>
        <v/>
      </c>
    </row>
    <row r="5579">
      <c r="A5579" t="inlineStr">
        <is>
          <t xml:space="preserve">energy </t>
        </is>
      </c>
      <c r="B5579">
        <f>VLOOKUP(297,Requirements!A2:B2967,2,FALSE)</f>
        <v/>
      </c>
    </row>
    <row r="5580">
      <c r="A5580" t="inlineStr">
        <is>
          <t xml:space="preserve">energy </t>
        </is>
      </c>
      <c r="B5580">
        <f>VLOOKUP(326,Requirements!A2:B2967,2,FALSE)</f>
        <v/>
      </c>
    </row>
    <row r="5581">
      <c r="A5581" t="inlineStr">
        <is>
          <t xml:space="preserve">energy </t>
        </is>
      </c>
      <c r="B5581">
        <f>VLOOKUP(370,Requirements!A2:B2967,2,FALSE)</f>
        <v/>
      </c>
    </row>
    <row r="5582">
      <c r="A5582" t="inlineStr">
        <is>
          <t xml:space="preserve">energy </t>
        </is>
      </c>
      <c r="B5582">
        <f>VLOOKUP(386,Requirements!A2:B2967,2,FALSE)</f>
        <v/>
      </c>
    </row>
    <row r="5583">
      <c r="A5583" t="inlineStr">
        <is>
          <t xml:space="preserve">energy </t>
        </is>
      </c>
      <c r="B5583">
        <f>VLOOKUP(421,Requirements!A2:B2967,2,FALSE)</f>
        <v/>
      </c>
    </row>
    <row r="5584">
      <c r="A5584" t="inlineStr">
        <is>
          <t xml:space="preserve">energy </t>
        </is>
      </c>
      <c r="B5584">
        <f>VLOOKUP(423,Requirements!A2:B2967,2,FALSE)</f>
        <v/>
      </c>
    </row>
    <row r="5585">
      <c r="A5585" t="inlineStr">
        <is>
          <t xml:space="preserve">energy </t>
        </is>
      </c>
      <c r="B5585">
        <f>VLOOKUP(424,Requirements!A2:B2967,2,FALSE)</f>
        <v/>
      </c>
    </row>
    <row r="5586">
      <c r="A5586" t="inlineStr">
        <is>
          <t xml:space="preserve">energy </t>
        </is>
      </c>
      <c r="B5586">
        <f>VLOOKUP(437,Requirements!A2:B2967,2,FALSE)</f>
        <v/>
      </c>
    </row>
    <row r="5587">
      <c r="A5587" t="inlineStr">
        <is>
          <t xml:space="preserve">energy </t>
        </is>
      </c>
      <c r="B5587">
        <f>VLOOKUP(463,Requirements!A2:B2967,2,FALSE)</f>
        <v/>
      </c>
    </row>
    <row r="5588">
      <c r="A5588" t="inlineStr">
        <is>
          <t xml:space="preserve">energy </t>
        </is>
      </c>
      <c r="B5588">
        <f>VLOOKUP(478,Requirements!A2:B2967,2,FALSE)</f>
        <v/>
      </c>
    </row>
    <row r="5589">
      <c r="A5589" t="inlineStr">
        <is>
          <t xml:space="preserve">energy </t>
        </is>
      </c>
      <c r="B5589">
        <f>VLOOKUP(497,Requirements!A2:B2967,2,FALSE)</f>
        <v/>
      </c>
    </row>
    <row r="5590">
      <c r="A5590" t="inlineStr">
        <is>
          <t xml:space="preserve">energy </t>
        </is>
      </c>
      <c r="B5590">
        <f>VLOOKUP(513,Requirements!A2:B2967,2,FALSE)</f>
        <v/>
      </c>
    </row>
    <row r="5591">
      <c r="A5591" t="inlineStr">
        <is>
          <t xml:space="preserve">energy </t>
        </is>
      </c>
      <c r="B5591">
        <f>VLOOKUP(535,Requirements!A2:B2967,2,FALSE)</f>
        <v/>
      </c>
    </row>
    <row r="5592">
      <c r="A5592" t="inlineStr">
        <is>
          <t xml:space="preserve">energy </t>
        </is>
      </c>
      <c r="B5592">
        <f>VLOOKUP(537,Requirements!A2:B2967,2,FALSE)</f>
        <v/>
      </c>
    </row>
    <row r="5593">
      <c r="A5593" t="inlineStr">
        <is>
          <t xml:space="preserve">energy </t>
        </is>
      </c>
      <c r="B5593">
        <f>VLOOKUP(538,Requirements!A2:B2967,2,FALSE)</f>
        <v/>
      </c>
    </row>
    <row r="5594">
      <c r="A5594" t="inlineStr">
        <is>
          <t xml:space="preserve">energy </t>
        </is>
      </c>
      <c r="B5594">
        <f>VLOOKUP(541,Requirements!A2:B2967,2,FALSE)</f>
        <v/>
      </c>
    </row>
    <row r="5595">
      <c r="A5595" t="inlineStr">
        <is>
          <t xml:space="preserve">energy </t>
        </is>
      </c>
      <c r="B5595">
        <f>VLOOKUP(546,Requirements!A2:B2967,2,FALSE)</f>
        <v/>
      </c>
    </row>
    <row r="5596">
      <c r="A5596" t="inlineStr">
        <is>
          <t xml:space="preserve">energy </t>
        </is>
      </c>
      <c r="B5596">
        <f>VLOOKUP(564,Requirements!A2:B2967,2,FALSE)</f>
        <v/>
      </c>
    </row>
    <row r="5597">
      <c r="A5597" t="inlineStr">
        <is>
          <t xml:space="preserve">energy </t>
        </is>
      </c>
      <c r="B5597">
        <f>VLOOKUP(577,Requirements!A2:B2967,2,FALSE)</f>
        <v/>
      </c>
    </row>
    <row r="5598">
      <c r="A5598" t="inlineStr">
        <is>
          <t xml:space="preserve">energy </t>
        </is>
      </c>
      <c r="B5598">
        <f>VLOOKUP(580,Requirements!A2:B2967,2,FALSE)</f>
        <v/>
      </c>
    </row>
    <row r="5599">
      <c r="A5599" t="inlineStr">
        <is>
          <t xml:space="preserve">energy </t>
        </is>
      </c>
      <c r="B5599">
        <f>VLOOKUP(613,Requirements!A2:B2967,2,FALSE)</f>
        <v/>
      </c>
    </row>
    <row r="5600">
      <c r="A5600" t="inlineStr">
        <is>
          <t xml:space="preserve">energy </t>
        </is>
      </c>
      <c r="B5600">
        <f>VLOOKUP(622,Requirements!A2:B2967,2,FALSE)</f>
        <v/>
      </c>
    </row>
    <row r="5601">
      <c r="A5601" t="inlineStr">
        <is>
          <t xml:space="preserve">energy </t>
        </is>
      </c>
      <c r="B5601">
        <f>VLOOKUP(640,Requirements!A2:B2967,2,FALSE)</f>
        <v/>
      </c>
    </row>
    <row r="5602">
      <c r="A5602" t="inlineStr">
        <is>
          <t xml:space="preserve">energy </t>
        </is>
      </c>
      <c r="B5602">
        <f>VLOOKUP(645,Requirements!A2:B2967,2,FALSE)</f>
        <v/>
      </c>
    </row>
    <row r="5603">
      <c r="A5603" t="inlineStr">
        <is>
          <t xml:space="preserve">energy </t>
        </is>
      </c>
      <c r="B5603">
        <f>VLOOKUP(678,Requirements!A2:B2967,2,FALSE)</f>
        <v/>
      </c>
    </row>
    <row r="5604">
      <c r="A5604" t="inlineStr">
        <is>
          <t xml:space="preserve">energy </t>
        </is>
      </c>
      <c r="B5604">
        <f>VLOOKUP(690,Requirements!A2:B2967,2,FALSE)</f>
        <v/>
      </c>
    </row>
    <row r="5605">
      <c r="A5605" t="inlineStr">
        <is>
          <t xml:space="preserve">energy </t>
        </is>
      </c>
      <c r="B5605">
        <f>VLOOKUP(691,Requirements!A2:B2967,2,FALSE)</f>
        <v/>
      </c>
    </row>
    <row r="5606">
      <c r="A5606" t="inlineStr">
        <is>
          <t xml:space="preserve">energy </t>
        </is>
      </c>
      <c r="B5606">
        <f>VLOOKUP(697,Requirements!A2:B2967,2,FALSE)</f>
        <v/>
      </c>
    </row>
    <row r="5607">
      <c r="A5607" t="inlineStr">
        <is>
          <t xml:space="preserve">energy </t>
        </is>
      </c>
      <c r="B5607">
        <f>VLOOKUP(706,Requirements!A2:B2967,2,FALSE)</f>
        <v/>
      </c>
    </row>
    <row r="5608">
      <c r="A5608" t="inlineStr">
        <is>
          <t xml:space="preserve">energy </t>
        </is>
      </c>
      <c r="B5608">
        <f>VLOOKUP(720,Requirements!A2:B2967,2,FALSE)</f>
        <v/>
      </c>
    </row>
    <row r="5609">
      <c r="A5609" t="inlineStr">
        <is>
          <t xml:space="preserve">energy </t>
        </is>
      </c>
      <c r="B5609">
        <f>VLOOKUP(725,Requirements!A2:B2967,2,FALSE)</f>
        <v/>
      </c>
    </row>
    <row r="5610">
      <c r="A5610" t="inlineStr">
        <is>
          <t xml:space="preserve">energy </t>
        </is>
      </c>
      <c r="B5610">
        <f>VLOOKUP(733,Requirements!A2:B2967,2,FALSE)</f>
        <v/>
      </c>
    </row>
    <row r="5611">
      <c r="A5611" t="inlineStr">
        <is>
          <t xml:space="preserve">energy </t>
        </is>
      </c>
      <c r="B5611">
        <f>VLOOKUP(734,Requirements!A2:B2967,2,FALSE)</f>
        <v/>
      </c>
    </row>
    <row r="5612">
      <c r="A5612" t="inlineStr">
        <is>
          <t xml:space="preserve">energy </t>
        </is>
      </c>
      <c r="B5612">
        <f>VLOOKUP(738,Requirements!A2:B2967,2,FALSE)</f>
        <v/>
      </c>
    </row>
    <row r="5613">
      <c r="A5613" t="inlineStr">
        <is>
          <t xml:space="preserve">energy </t>
        </is>
      </c>
      <c r="B5613">
        <f>VLOOKUP(745,Requirements!A2:B2967,2,FALSE)</f>
        <v/>
      </c>
    </row>
    <row r="5614">
      <c r="A5614" t="inlineStr">
        <is>
          <t xml:space="preserve">energy </t>
        </is>
      </c>
      <c r="B5614">
        <f>VLOOKUP(762,Requirements!A2:B2967,2,FALSE)</f>
        <v/>
      </c>
    </row>
    <row r="5615">
      <c r="A5615" t="inlineStr">
        <is>
          <t xml:space="preserve">energy </t>
        </is>
      </c>
      <c r="B5615">
        <f>VLOOKUP(786,Requirements!A2:B2967,2,FALSE)</f>
        <v/>
      </c>
    </row>
    <row r="5616">
      <c r="A5616" t="inlineStr">
        <is>
          <t xml:space="preserve">energy </t>
        </is>
      </c>
      <c r="B5616">
        <f>VLOOKUP(805,Requirements!A2:B2967,2,FALSE)</f>
        <v/>
      </c>
    </row>
    <row r="5617">
      <c r="A5617" t="inlineStr">
        <is>
          <t xml:space="preserve">energy </t>
        </is>
      </c>
      <c r="B5617">
        <f>VLOOKUP(808,Requirements!A2:B2967,2,FALSE)</f>
        <v/>
      </c>
    </row>
    <row r="5618">
      <c r="A5618" t="inlineStr">
        <is>
          <t xml:space="preserve">energy </t>
        </is>
      </c>
      <c r="B5618">
        <f>VLOOKUP(832,Requirements!A2:B2967,2,FALSE)</f>
        <v/>
      </c>
    </row>
    <row r="5619">
      <c r="A5619" t="inlineStr">
        <is>
          <t xml:space="preserve">energy </t>
        </is>
      </c>
      <c r="B5619">
        <f>VLOOKUP(838,Requirements!A2:B2967,2,FALSE)</f>
        <v/>
      </c>
    </row>
    <row r="5620">
      <c r="A5620" t="inlineStr">
        <is>
          <t xml:space="preserve">energy </t>
        </is>
      </c>
      <c r="B5620">
        <f>VLOOKUP(846,Requirements!A2:B2967,2,FALSE)</f>
        <v/>
      </c>
    </row>
    <row r="5621">
      <c r="A5621" t="inlineStr">
        <is>
          <t xml:space="preserve">energy </t>
        </is>
      </c>
      <c r="B5621">
        <f>VLOOKUP(850,Requirements!A2:B2967,2,FALSE)</f>
        <v/>
      </c>
    </row>
    <row r="5622">
      <c r="A5622" t="inlineStr">
        <is>
          <t xml:space="preserve">energy </t>
        </is>
      </c>
      <c r="B5622">
        <f>VLOOKUP(860,Requirements!A2:B2967,2,FALSE)</f>
        <v/>
      </c>
    </row>
    <row r="5623">
      <c r="A5623" t="inlineStr">
        <is>
          <t xml:space="preserve">energy </t>
        </is>
      </c>
      <c r="B5623">
        <f>VLOOKUP(868,Requirements!A2:B2967,2,FALSE)</f>
        <v/>
      </c>
    </row>
    <row r="5624">
      <c r="A5624" t="inlineStr">
        <is>
          <t xml:space="preserve">energy </t>
        </is>
      </c>
      <c r="B5624">
        <f>VLOOKUP(878,Requirements!A2:B2967,2,FALSE)</f>
        <v/>
      </c>
    </row>
    <row r="5625">
      <c r="A5625" t="inlineStr">
        <is>
          <t xml:space="preserve">energy </t>
        </is>
      </c>
      <c r="B5625">
        <f>VLOOKUP(915,Requirements!A2:B2967,2,FALSE)</f>
        <v/>
      </c>
    </row>
    <row r="5626">
      <c r="A5626" t="inlineStr">
        <is>
          <t xml:space="preserve">energy </t>
        </is>
      </c>
      <c r="B5626">
        <f>VLOOKUP(916,Requirements!A2:B2967,2,FALSE)</f>
        <v/>
      </c>
    </row>
    <row r="5627">
      <c r="A5627" t="inlineStr">
        <is>
          <t xml:space="preserve">energy </t>
        </is>
      </c>
      <c r="B5627">
        <f>VLOOKUP(947,Requirements!A2:B2967,2,FALSE)</f>
        <v/>
      </c>
    </row>
    <row r="5628">
      <c r="A5628" t="inlineStr">
        <is>
          <t xml:space="preserve">energy </t>
        </is>
      </c>
      <c r="B5628">
        <f>VLOOKUP(957,Requirements!A2:B2967,2,FALSE)</f>
        <v/>
      </c>
    </row>
    <row r="5629">
      <c r="A5629" t="inlineStr">
        <is>
          <t xml:space="preserve">energy </t>
        </is>
      </c>
      <c r="B5629">
        <f>VLOOKUP(961,Requirements!A2:B2967,2,FALSE)</f>
        <v/>
      </c>
    </row>
    <row r="5630">
      <c r="A5630" t="inlineStr">
        <is>
          <t xml:space="preserve">energy </t>
        </is>
      </c>
      <c r="B5630">
        <f>VLOOKUP(985,Requirements!A2:B2967,2,FALSE)</f>
        <v/>
      </c>
    </row>
    <row r="5631">
      <c r="A5631" t="inlineStr">
        <is>
          <t xml:space="preserve">energy </t>
        </is>
      </c>
      <c r="B5631">
        <f>VLOOKUP(1028,Requirements!A2:B2967,2,FALSE)</f>
        <v/>
      </c>
    </row>
    <row r="5632">
      <c r="A5632" t="inlineStr">
        <is>
          <t xml:space="preserve">energy </t>
        </is>
      </c>
      <c r="B5632">
        <f>VLOOKUP(1056,Requirements!A2:B2967,2,FALSE)</f>
        <v/>
      </c>
    </row>
    <row r="5633">
      <c r="A5633" t="inlineStr">
        <is>
          <t xml:space="preserve">energy </t>
        </is>
      </c>
      <c r="B5633">
        <f>VLOOKUP(1066,Requirements!A2:B2967,2,FALSE)</f>
        <v/>
      </c>
    </row>
    <row r="5634">
      <c r="A5634" t="inlineStr">
        <is>
          <t xml:space="preserve">energy </t>
        </is>
      </c>
      <c r="B5634">
        <f>VLOOKUP(1096,Requirements!A2:B2967,2,FALSE)</f>
        <v/>
      </c>
    </row>
    <row r="5635">
      <c r="A5635" t="inlineStr">
        <is>
          <t xml:space="preserve">energy </t>
        </is>
      </c>
      <c r="B5635">
        <f>VLOOKUP(1123,Requirements!A2:B2967,2,FALSE)</f>
        <v/>
      </c>
    </row>
    <row r="5636">
      <c r="A5636" t="inlineStr">
        <is>
          <t xml:space="preserve">energy </t>
        </is>
      </c>
      <c r="B5636">
        <f>VLOOKUP(1141,Requirements!A2:B2967,2,FALSE)</f>
        <v/>
      </c>
    </row>
    <row r="5637">
      <c r="A5637" t="inlineStr">
        <is>
          <t xml:space="preserve">energy </t>
        </is>
      </c>
      <c r="B5637">
        <f>VLOOKUP(1151,Requirements!A2:B2967,2,FALSE)</f>
        <v/>
      </c>
    </row>
    <row r="5638">
      <c r="A5638" t="inlineStr">
        <is>
          <t xml:space="preserve">energy </t>
        </is>
      </c>
      <c r="B5638">
        <f>VLOOKUP(1158,Requirements!A2:B2967,2,FALSE)</f>
        <v/>
      </c>
    </row>
    <row r="5639">
      <c r="A5639" t="inlineStr">
        <is>
          <t xml:space="preserve">energy </t>
        </is>
      </c>
      <c r="B5639">
        <f>VLOOKUP(1173,Requirements!A2:B2967,2,FALSE)</f>
        <v/>
      </c>
    </row>
    <row r="5640">
      <c r="A5640" t="inlineStr">
        <is>
          <t xml:space="preserve">energy </t>
        </is>
      </c>
      <c r="B5640">
        <f>VLOOKUP(1202,Requirements!A2:B2967,2,FALSE)</f>
        <v/>
      </c>
    </row>
    <row r="5641">
      <c r="A5641" t="inlineStr">
        <is>
          <t xml:space="preserve">energy </t>
        </is>
      </c>
      <c r="B5641">
        <f>VLOOKUP(1222,Requirements!A2:B2967,2,FALSE)</f>
        <v/>
      </c>
    </row>
    <row r="5642">
      <c r="A5642" t="inlineStr">
        <is>
          <t xml:space="preserve">energy </t>
        </is>
      </c>
      <c r="B5642">
        <f>VLOOKUP(1250,Requirements!A2:B2967,2,FALSE)</f>
        <v/>
      </c>
    </row>
    <row r="5643">
      <c r="A5643" t="inlineStr">
        <is>
          <t xml:space="preserve">energy </t>
        </is>
      </c>
      <c r="B5643">
        <f>VLOOKUP(1382,Requirements!A2:B2967,2,FALSE)</f>
        <v/>
      </c>
    </row>
    <row r="5644">
      <c r="A5644" t="inlineStr">
        <is>
          <t xml:space="preserve">energy </t>
        </is>
      </c>
      <c r="B5644">
        <f>VLOOKUP(1384,Requirements!A2:B2967,2,FALSE)</f>
        <v/>
      </c>
    </row>
    <row r="5645">
      <c r="A5645" t="inlineStr">
        <is>
          <t xml:space="preserve">energy </t>
        </is>
      </c>
      <c r="B5645">
        <f>VLOOKUP(1419,Requirements!A2:B2967,2,FALSE)</f>
        <v/>
      </c>
    </row>
    <row r="5646">
      <c r="A5646" t="inlineStr">
        <is>
          <t xml:space="preserve">energy </t>
        </is>
      </c>
      <c r="B5646">
        <f>VLOOKUP(1450,Requirements!A2:B2967,2,FALSE)</f>
        <v/>
      </c>
    </row>
    <row r="5647">
      <c r="A5647" t="inlineStr">
        <is>
          <t xml:space="preserve">energy </t>
        </is>
      </c>
      <c r="B5647">
        <f>VLOOKUP(1456,Requirements!A2:B2967,2,FALSE)</f>
        <v/>
      </c>
    </row>
    <row r="5648">
      <c r="A5648" t="inlineStr">
        <is>
          <t xml:space="preserve">energy </t>
        </is>
      </c>
      <c r="B5648">
        <f>VLOOKUP(1474,Requirements!A2:B2967,2,FALSE)</f>
        <v/>
      </c>
    </row>
    <row r="5649">
      <c r="A5649" t="inlineStr">
        <is>
          <t xml:space="preserve">energy </t>
        </is>
      </c>
      <c r="B5649">
        <f>VLOOKUP(1475,Requirements!A2:B2967,2,FALSE)</f>
        <v/>
      </c>
    </row>
    <row r="5650">
      <c r="A5650" t="inlineStr">
        <is>
          <t xml:space="preserve">energy </t>
        </is>
      </c>
      <c r="B5650">
        <f>VLOOKUP(1504,Requirements!A2:B2967,2,FALSE)</f>
        <v/>
      </c>
    </row>
    <row r="5651">
      <c r="A5651" t="inlineStr">
        <is>
          <t xml:space="preserve">energy </t>
        </is>
      </c>
      <c r="B5651">
        <f>VLOOKUP(1538,Requirements!A2:B2967,2,FALSE)</f>
        <v/>
      </c>
    </row>
    <row r="5652">
      <c r="A5652" t="inlineStr">
        <is>
          <t xml:space="preserve">energy </t>
        </is>
      </c>
      <c r="B5652">
        <f>VLOOKUP(1547,Requirements!A2:B2967,2,FALSE)</f>
        <v/>
      </c>
    </row>
    <row r="5653">
      <c r="A5653" t="inlineStr">
        <is>
          <t xml:space="preserve">energy </t>
        </is>
      </c>
      <c r="B5653">
        <f>VLOOKUP(1570,Requirements!A2:B2967,2,FALSE)</f>
        <v/>
      </c>
    </row>
    <row r="5654">
      <c r="A5654" t="inlineStr">
        <is>
          <t xml:space="preserve">energy </t>
        </is>
      </c>
      <c r="B5654">
        <f>VLOOKUP(1575,Requirements!A2:B2967,2,FALSE)</f>
        <v/>
      </c>
    </row>
    <row r="5655">
      <c r="A5655" t="inlineStr">
        <is>
          <t xml:space="preserve">energy </t>
        </is>
      </c>
      <c r="B5655">
        <f>VLOOKUP(1653,Requirements!A2:B2967,2,FALSE)</f>
        <v/>
      </c>
    </row>
    <row r="5656">
      <c r="A5656" t="inlineStr">
        <is>
          <t xml:space="preserve">energy </t>
        </is>
      </c>
      <c r="B5656">
        <f>VLOOKUP(1685,Requirements!A2:B2967,2,FALSE)</f>
        <v/>
      </c>
    </row>
    <row r="5657">
      <c r="A5657" t="inlineStr">
        <is>
          <t xml:space="preserve">energy </t>
        </is>
      </c>
      <c r="B5657">
        <f>VLOOKUP(1690,Requirements!A2:B2967,2,FALSE)</f>
        <v/>
      </c>
    </row>
    <row r="5658">
      <c r="A5658" t="inlineStr">
        <is>
          <t xml:space="preserve">energy </t>
        </is>
      </c>
      <c r="B5658">
        <f>VLOOKUP(1699,Requirements!A2:B2967,2,FALSE)</f>
        <v/>
      </c>
    </row>
    <row r="5659">
      <c r="A5659" t="inlineStr">
        <is>
          <t xml:space="preserve">energy </t>
        </is>
      </c>
      <c r="B5659">
        <f>VLOOKUP(1700,Requirements!A2:B2967,2,FALSE)</f>
        <v/>
      </c>
    </row>
    <row r="5660">
      <c r="A5660" t="inlineStr">
        <is>
          <t xml:space="preserve">energy </t>
        </is>
      </c>
      <c r="B5660">
        <f>VLOOKUP(1729,Requirements!A2:B2967,2,FALSE)</f>
        <v/>
      </c>
    </row>
    <row r="5661">
      <c r="A5661" t="inlineStr">
        <is>
          <t xml:space="preserve">energy </t>
        </is>
      </c>
      <c r="B5661">
        <f>VLOOKUP(1762,Requirements!A2:B2967,2,FALSE)</f>
        <v/>
      </c>
    </row>
    <row r="5662">
      <c r="A5662" t="inlineStr">
        <is>
          <t xml:space="preserve">energy </t>
        </is>
      </c>
      <c r="B5662">
        <f>VLOOKUP(1844,Requirements!A2:B2967,2,FALSE)</f>
        <v/>
      </c>
    </row>
    <row r="5663">
      <c r="A5663" t="inlineStr">
        <is>
          <t xml:space="preserve">energy </t>
        </is>
      </c>
      <c r="B5663">
        <f>VLOOKUP(1846,Requirements!A2:B2967,2,FALSE)</f>
        <v/>
      </c>
    </row>
    <row r="5664">
      <c r="A5664" t="inlineStr">
        <is>
          <t xml:space="preserve">energy </t>
        </is>
      </c>
      <c r="B5664">
        <f>VLOOKUP(1850,Requirements!A2:B2967,2,FALSE)</f>
        <v/>
      </c>
    </row>
    <row r="5665">
      <c r="A5665" t="inlineStr">
        <is>
          <t xml:space="preserve">energy </t>
        </is>
      </c>
      <c r="B5665">
        <f>VLOOKUP(1861,Requirements!A2:B2967,2,FALSE)</f>
        <v/>
      </c>
    </row>
    <row r="5666">
      <c r="A5666" t="inlineStr">
        <is>
          <t xml:space="preserve">energy </t>
        </is>
      </c>
      <c r="B5666">
        <f>VLOOKUP(1870,Requirements!A2:B2967,2,FALSE)</f>
        <v/>
      </c>
    </row>
    <row r="5667">
      <c r="A5667" t="inlineStr">
        <is>
          <t xml:space="preserve">energy </t>
        </is>
      </c>
      <c r="B5667">
        <f>VLOOKUP(1879,Requirements!A2:B2967,2,FALSE)</f>
        <v/>
      </c>
    </row>
    <row r="5668">
      <c r="A5668" t="inlineStr">
        <is>
          <t xml:space="preserve">energy </t>
        </is>
      </c>
      <c r="B5668">
        <f>VLOOKUP(1899,Requirements!A2:B2967,2,FALSE)</f>
        <v/>
      </c>
    </row>
    <row r="5669">
      <c r="A5669" t="inlineStr">
        <is>
          <t xml:space="preserve">energy </t>
        </is>
      </c>
      <c r="B5669">
        <f>VLOOKUP(1922,Requirements!A2:B2967,2,FALSE)</f>
        <v/>
      </c>
    </row>
    <row r="5670">
      <c r="A5670" t="inlineStr">
        <is>
          <t xml:space="preserve">energy </t>
        </is>
      </c>
      <c r="B5670">
        <f>VLOOKUP(1927,Requirements!A2:B2967,2,FALSE)</f>
        <v/>
      </c>
    </row>
    <row r="5671">
      <c r="A5671" t="inlineStr">
        <is>
          <t xml:space="preserve">energy </t>
        </is>
      </c>
      <c r="B5671">
        <f>VLOOKUP(1938,Requirements!A2:B2967,2,FALSE)</f>
        <v/>
      </c>
    </row>
    <row r="5672">
      <c r="A5672" t="inlineStr">
        <is>
          <t xml:space="preserve">energy </t>
        </is>
      </c>
      <c r="B5672">
        <f>VLOOKUP(2019,Requirements!A2:B2967,2,FALSE)</f>
        <v/>
      </c>
    </row>
    <row r="5673">
      <c r="A5673" t="inlineStr">
        <is>
          <t xml:space="preserve">energy </t>
        </is>
      </c>
      <c r="B5673">
        <f>VLOOKUP(2031,Requirements!A2:B2967,2,FALSE)</f>
        <v/>
      </c>
    </row>
    <row r="5674">
      <c r="A5674" t="inlineStr">
        <is>
          <t xml:space="preserve">energy </t>
        </is>
      </c>
      <c r="B5674">
        <f>VLOOKUP(2066,Requirements!A2:B2967,2,FALSE)</f>
        <v/>
      </c>
    </row>
    <row r="5675">
      <c r="A5675" t="inlineStr">
        <is>
          <t xml:space="preserve">energy </t>
        </is>
      </c>
      <c r="B5675">
        <f>VLOOKUP(2078,Requirements!A2:B2967,2,FALSE)</f>
        <v/>
      </c>
    </row>
    <row r="5676">
      <c r="A5676" t="inlineStr">
        <is>
          <t xml:space="preserve">energy </t>
        </is>
      </c>
      <c r="B5676">
        <f>VLOOKUP(2107,Requirements!A2:B2967,2,FALSE)</f>
        <v/>
      </c>
    </row>
    <row r="5677">
      <c r="A5677" t="inlineStr">
        <is>
          <t xml:space="preserve">energy </t>
        </is>
      </c>
      <c r="B5677">
        <f>VLOOKUP(2125,Requirements!A2:B2967,2,FALSE)</f>
        <v/>
      </c>
    </row>
    <row r="5678">
      <c r="A5678" t="inlineStr">
        <is>
          <t xml:space="preserve">energy </t>
        </is>
      </c>
      <c r="B5678">
        <f>VLOOKUP(2220,Requirements!A2:B2967,2,FALSE)</f>
        <v/>
      </c>
    </row>
    <row r="5679">
      <c r="A5679" t="inlineStr">
        <is>
          <t xml:space="preserve">energy </t>
        </is>
      </c>
      <c r="B5679">
        <f>VLOOKUP(2227,Requirements!A2:B2967,2,FALSE)</f>
        <v/>
      </c>
    </row>
    <row r="5680">
      <c r="A5680" t="inlineStr">
        <is>
          <t xml:space="preserve">energy </t>
        </is>
      </c>
      <c r="B5680">
        <f>VLOOKUP(2235,Requirements!A2:B2967,2,FALSE)</f>
        <v/>
      </c>
    </row>
    <row r="5681">
      <c r="A5681" t="inlineStr">
        <is>
          <t xml:space="preserve">energy </t>
        </is>
      </c>
      <c r="B5681">
        <f>VLOOKUP(2251,Requirements!A2:B2967,2,FALSE)</f>
        <v/>
      </c>
    </row>
    <row r="5682">
      <c r="A5682" t="inlineStr">
        <is>
          <t xml:space="preserve">energy </t>
        </is>
      </c>
      <c r="B5682">
        <f>VLOOKUP(2262,Requirements!A2:B2967,2,FALSE)</f>
        <v/>
      </c>
    </row>
    <row r="5683">
      <c r="A5683" t="inlineStr">
        <is>
          <t xml:space="preserve">energy </t>
        </is>
      </c>
      <c r="B5683">
        <f>VLOOKUP(2266,Requirements!A2:B2967,2,FALSE)</f>
        <v/>
      </c>
    </row>
    <row r="5684">
      <c r="A5684" t="inlineStr">
        <is>
          <t xml:space="preserve">energy </t>
        </is>
      </c>
      <c r="B5684">
        <f>VLOOKUP(2267,Requirements!A2:B2967,2,FALSE)</f>
        <v/>
      </c>
    </row>
    <row r="5685">
      <c r="A5685" t="inlineStr">
        <is>
          <t xml:space="preserve">energy </t>
        </is>
      </c>
      <c r="B5685">
        <f>VLOOKUP(2290,Requirements!A2:B2967,2,FALSE)</f>
        <v/>
      </c>
    </row>
    <row r="5686">
      <c r="A5686" t="inlineStr">
        <is>
          <t xml:space="preserve">energy </t>
        </is>
      </c>
      <c r="B5686">
        <f>VLOOKUP(2299,Requirements!A2:B2967,2,FALSE)</f>
        <v/>
      </c>
    </row>
    <row r="5687">
      <c r="A5687" t="inlineStr">
        <is>
          <t xml:space="preserve">energy </t>
        </is>
      </c>
      <c r="B5687">
        <f>VLOOKUP(2304,Requirements!A2:B2967,2,FALSE)</f>
        <v/>
      </c>
    </row>
    <row r="5688">
      <c r="A5688" t="inlineStr">
        <is>
          <t xml:space="preserve">energy </t>
        </is>
      </c>
      <c r="B5688">
        <f>VLOOKUP(2334,Requirements!A2:B2967,2,FALSE)</f>
        <v/>
      </c>
    </row>
    <row r="5689">
      <c r="A5689" t="inlineStr">
        <is>
          <t xml:space="preserve">energy </t>
        </is>
      </c>
      <c r="B5689">
        <f>VLOOKUP(2365,Requirements!A2:B2967,2,FALSE)</f>
        <v/>
      </c>
    </row>
    <row r="5690">
      <c r="A5690" t="inlineStr">
        <is>
          <t xml:space="preserve">energy </t>
        </is>
      </c>
      <c r="B5690">
        <f>VLOOKUP(2409,Requirements!A2:B2967,2,FALSE)</f>
        <v/>
      </c>
    </row>
    <row r="5691">
      <c r="A5691" t="inlineStr">
        <is>
          <t xml:space="preserve">energy </t>
        </is>
      </c>
      <c r="B5691">
        <f>VLOOKUP(2416,Requirements!A2:B2967,2,FALSE)</f>
        <v/>
      </c>
    </row>
    <row r="5692">
      <c r="A5692" t="inlineStr">
        <is>
          <t xml:space="preserve">energy </t>
        </is>
      </c>
      <c r="B5692">
        <f>VLOOKUP(2428,Requirements!A2:B2967,2,FALSE)</f>
        <v/>
      </c>
    </row>
    <row r="5693">
      <c r="A5693" t="inlineStr">
        <is>
          <t xml:space="preserve">energy </t>
        </is>
      </c>
      <c r="B5693">
        <f>VLOOKUP(2436,Requirements!A2:B2967,2,FALSE)</f>
        <v/>
      </c>
    </row>
    <row r="5694">
      <c r="A5694" t="inlineStr">
        <is>
          <t xml:space="preserve">energy </t>
        </is>
      </c>
      <c r="B5694">
        <f>VLOOKUP(2446,Requirements!A2:B2967,2,FALSE)</f>
        <v/>
      </c>
    </row>
    <row r="5695">
      <c r="A5695" t="inlineStr">
        <is>
          <t xml:space="preserve">energy </t>
        </is>
      </c>
      <c r="B5695">
        <f>VLOOKUP(2534,Requirements!A2:B2967,2,FALSE)</f>
        <v/>
      </c>
    </row>
    <row r="5696">
      <c r="A5696" t="inlineStr">
        <is>
          <t xml:space="preserve">energy </t>
        </is>
      </c>
      <c r="B5696">
        <f>VLOOKUP(2552,Requirements!A2:B2967,2,FALSE)</f>
        <v/>
      </c>
    </row>
    <row r="5697">
      <c r="A5697" t="inlineStr">
        <is>
          <t xml:space="preserve">energy </t>
        </is>
      </c>
      <c r="B5697">
        <f>VLOOKUP(2599,Requirements!A2:B2967,2,FALSE)</f>
        <v/>
      </c>
    </row>
    <row r="5698">
      <c r="A5698" t="inlineStr">
        <is>
          <t xml:space="preserve">energy </t>
        </is>
      </c>
      <c r="B5698">
        <f>VLOOKUP(2603,Requirements!A2:B2967,2,FALSE)</f>
        <v/>
      </c>
    </row>
    <row r="5699">
      <c r="A5699" t="inlineStr">
        <is>
          <t xml:space="preserve">energy </t>
        </is>
      </c>
      <c r="B5699">
        <f>VLOOKUP(2632,Requirements!A2:B2967,2,FALSE)</f>
        <v/>
      </c>
    </row>
    <row r="5700">
      <c r="A5700" t="inlineStr">
        <is>
          <t xml:space="preserve">energy </t>
        </is>
      </c>
      <c r="B5700">
        <f>VLOOKUP(2643,Requirements!A2:B2967,2,FALSE)</f>
        <v/>
      </c>
    </row>
    <row r="5701">
      <c r="A5701" t="inlineStr">
        <is>
          <t xml:space="preserve">energy </t>
        </is>
      </c>
      <c r="B5701">
        <f>VLOOKUP(2647,Requirements!A2:B2967,2,FALSE)</f>
        <v/>
      </c>
    </row>
    <row r="5702">
      <c r="A5702" t="inlineStr">
        <is>
          <t xml:space="preserve">energy </t>
        </is>
      </c>
      <c r="B5702">
        <f>VLOOKUP(2669,Requirements!A2:B2967,2,FALSE)</f>
        <v/>
      </c>
    </row>
    <row r="5703">
      <c r="A5703" t="inlineStr">
        <is>
          <t xml:space="preserve">energy </t>
        </is>
      </c>
      <c r="B5703">
        <f>VLOOKUP(2675,Requirements!A2:B2967,2,FALSE)</f>
        <v/>
      </c>
    </row>
    <row r="5704">
      <c r="A5704" t="inlineStr">
        <is>
          <t xml:space="preserve">energy </t>
        </is>
      </c>
      <c r="B5704">
        <f>VLOOKUP(2744,Requirements!A2:B2967,2,FALSE)</f>
        <v/>
      </c>
    </row>
    <row r="5705">
      <c r="A5705" t="inlineStr">
        <is>
          <t xml:space="preserve">energy </t>
        </is>
      </c>
      <c r="B5705">
        <f>VLOOKUP(2783,Requirements!A2:B2967,2,FALSE)</f>
        <v/>
      </c>
    </row>
    <row r="5706">
      <c r="A5706" t="inlineStr">
        <is>
          <t xml:space="preserve">energy </t>
        </is>
      </c>
      <c r="B5706">
        <f>VLOOKUP(2785,Requirements!A2:B2967,2,FALSE)</f>
        <v/>
      </c>
    </row>
    <row r="5707">
      <c r="A5707" t="inlineStr">
        <is>
          <t xml:space="preserve">energy </t>
        </is>
      </c>
      <c r="B5707">
        <f>VLOOKUP(2787,Requirements!A2:B2967,2,FALSE)</f>
        <v/>
      </c>
    </row>
    <row r="5708">
      <c r="A5708" t="inlineStr">
        <is>
          <t xml:space="preserve">energy </t>
        </is>
      </c>
      <c r="B5708">
        <f>VLOOKUP(2789,Requirements!A2:B2967,2,FALSE)</f>
        <v/>
      </c>
    </row>
    <row r="5709">
      <c r="A5709" t="inlineStr">
        <is>
          <t xml:space="preserve">energy </t>
        </is>
      </c>
      <c r="B5709">
        <f>VLOOKUP(2805,Requirements!A2:B2967,2,FALSE)</f>
        <v/>
      </c>
    </row>
    <row r="5710">
      <c r="A5710" t="inlineStr">
        <is>
          <t xml:space="preserve">energy </t>
        </is>
      </c>
      <c r="B5710">
        <f>VLOOKUP(2851,Requirements!A2:B2967,2,FALSE)</f>
        <v/>
      </c>
    </row>
    <row r="5711">
      <c r="A5711" t="inlineStr">
        <is>
          <t xml:space="preserve">energy </t>
        </is>
      </c>
      <c r="B5711">
        <f>VLOOKUP(2855,Requirements!A2:B2967,2,FALSE)</f>
        <v/>
      </c>
    </row>
    <row r="5712">
      <c r="A5712" t="inlineStr">
        <is>
          <t xml:space="preserve">energy </t>
        </is>
      </c>
      <c r="B5712">
        <f>VLOOKUP(2920,Requirements!A2:B2967,2,FALSE)</f>
        <v/>
      </c>
    </row>
    <row r="5713">
      <c r="A5713" t="inlineStr">
        <is>
          <t xml:space="preserve">energy </t>
        </is>
      </c>
      <c r="B5713">
        <f>VLOOKUP(2958,Requirements!A2:B2967,2,FALSE)</f>
        <v/>
      </c>
    </row>
    <row r="5714">
      <c r="A5714" t="inlineStr">
        <is>
          <t xml:space="preserve">energy </t>
        </is>
      </c>
      <c r="B5714">
        <f>VLOOKUP(2968,Requirements!A2:B2967,2,FALSE)</f>
        <v/>
      </c>
    </row>
    <row r="5715">
      <c r="A5715" t="inlineStr">
        <is>
          <t xml:space="preserve">energy </t>
        </is>
      </c>
      <c r="B5715">
        <f>VLOOKUP(3019,Requirements!A2:B2967,2,FALSE)</f>
        <v/>
      </c>
    </row>
    <row r="5716">
      <c r="A5716" t="inlineStr">
        <is>
          <t xml:space="preserve">energy </t>
        </is>
      </c>
      <c r="B5716">
        <f>VLOOKUP(3050,Requirements!A2:B2967,2,FALSE)</f>
        <v/>
      </c>
    </row>
    <row r="5717">
      <c r="A5717" t="inlineStr">
        <is>
          <t xml:space="preserve">energy </t>
        </is>
      </c>
      <c r="B5717">
        <f>VLOOKUP(3051,Requirements!A2:B2967,2,FALSE)</f>
        <v/>
      </c>
    </row>
    <row r="5718">
      <c r="A5718" t="inlineStr">
        <is>
          <t xml:space="preserve">energy </t>
        </is>
      </c>
      <c r="B5718">
        <f>VLOOKUP(3087,Requirements!A2:B2967,2,FALSE)</f>
        <v/>
      </c>
    </row>
    <row r="5719">
      <c r="A5719" t="inlineStr">
        <is>
          <t xml:space="preserve">energy </t>
        </is>
      </c>
      <c r="B5719">
        <f>VLOOKUP(3129,Requirements!A2:B2967,2,FALSE)</f>
        <v/>
      </c>
    </row>
    <row r="5720">
      <c r="A5720" t="inlineStr">
        <is>
          <t xml:space="preserve">energy </t>
        </is>
      </c>
      <c r="B5720">
        <f>VLOOKUP(3140,Requirements!A2:B2967,2,FALSE)</f>
        <v/>
      </c>
    </row>
    <row r="5721">
      <c r="A5721" t="inlineStr">
        <is>
          <t xml:space="preserve">energy </t>
        </is>
      </c>
      <c r="B5721">
        <f>VLOOKUP(3169,Requirements!A2:B2967,2,FALSE)</f>
        <v/>
      </c>
    </row>
    <row r="5722">
      <c r="A5722" t="inlineStr">
        <is>
          <t xml:space="preserve">energy </t>
        </is>
      </c>
      <c r="B5722">
        <f>VLOOKUP(3177,Requirements!A2:B2967,2,FALSE)</f>
        <v/>
      </c>
    </row>
    <row r="5723">
      <c r="A5723" t="inlineStr">
        <is>
          <t xml:space="preserve">energy </t>
        </is>
      </c>
      <c r="B5723">
        <f>VLOOKUP(3189,Requirements!A2:B2967,2,FALSE)</f>
        <v/>
      </c>
    </row>
    <row r="5724">
      <c r="A5724" t="inlineStr">
        <is>
          <t xml:space="preserve">energy </t>
        </is>
      </c>
      <c r="B5724">
        <f>VLOOKUP(3206,Requirements!A2:B2967,2,FALSE)</f>
        <v/>
      </c>
    </row>
    <row r="5725">
      <c r="A5725" t="inlineStr">
        <is>
          <t xml:space="preserve">energy </t>
        </is>
      </c>
      <c r="B5725">
        <f>VLOOKUP(3210,Requirements!A2:B2967,2,FALSE)</f>
        <v/>
      </c>
    </row>
    <row r="5726">
      <c r="A5726" t="inlineStr">
        <is>
          <t xml:space="preserve">energy </t>
        </is>
      </c>
      <c r="B5726">
        <f>VLOOKUP(3266,Requirements!A2:B2967,2,FALSE)</f>
        <v/>
      </c>
    </row>
    <row r="5727">
      <c r="A5727" t="inlineStr">
        <is>
          <t xml:space="preserve">sure </t>
        </is>
      </c>
      <c r="B5727">
        <f>VLOOKUP(38,Requirements!A2:B2967,2,FALSE)</f>
        <v/>
      </c>
    </row>
    <row r="5728">
      <c r="A5728" t="inlineStr">
        <is>
          <t xml:space="preserve">sure </t>
        </is>
      </c>
      <c r="B5728">
        <f>VLOOKUP(103,Requirements!A2:B2967,2,FALSE)</f>
        <v/>
      </c>
    </row>
    <row r="5729">
      <c r="A5729" t="inlineStr">
        <is>
          <t xml:space="preserve">sure </t>
        </is>
      </c>
      <c r="B5729">
        <f>VLOOKUP(323,Requirements!A2:B2967,2,FALSE)</f>
        <v/>
      </c>
    </row>
    <row r="5730">
      <c r="A5730" t="inlineStr">
        <is>
          <t xml:space="preserve">sure </t>
        </is>
      </c>
      <c r="B5730">
        <f>VLOOKUP(383,Requirements!A2:B2967,2,FALSE)</f>
        <v/>
      </c>
    </row>
    <row r="5731">
      <c r="A5731" t="inlineStr">
        <is>
          <t xml:space="preserve">sure </t>
        </is>
      </c>
      <c r="B5731">
        <f>VLOOKUP(442,Requirements!A2:B2967,2,FALSE)</f>
        <v/>
      </c>
    </row>
    <row r="5732">
      <c r="A5732" t="inlineStr">
        <is>
          <t xml:space="preserve">sure </t>
        </is>
      </c>
      <c r="B5732">
        <f>VLOOKUP(556,Requirements!A2:B2967,2,FALSE)</f>
        <v/>
      </c>
    </row>
    <row r="5733">
      <c r="A5733" t="inlineStr">
        <is>
          <t xml:space="preserve">sure </t>
        </is>
      </c>
      <c r="B5733">
        <f>VLOOKUP(686,Requirements!A2:B2967,2,FALSE)</f>
        <v/>
      </c>
    </row>
    <row r="5734">
      <c r="A5734" t="inlineStr">
        <is>
          <t xml:space="preserve">sure </t>
        </is>
      </c>
      <c r="B5734">
        <f>VLOOKUP(759,Requirements!A2:B2967,2,FALSE)</f>
        <v/>
      </c>
    </row>
    <row r="5735">
      <c r="A5735" t="inlineStr">
        <is>
          <t xml:space="preserve">sure </t>
        </is>
      </c>
      <c r="B5735">
        <f>VLOOKUP(760,Requirements!A2:B2967,2,FALSE)</f>
        <v/>
      </c>
    </row>
    <row r="5736">
      <c r="A5736" t="inlineStr">
        <is>
          <t xml:space="preserve">sure </t>
        </is>
      </c>
      <c r="B5736">
        <f>VLOOKUP(1033,Requirements!A2:B2967,2,FALSE)</f>
        <v/>
      </c>
    </row>
    <row r="5737">
      <c r="A5737" t="inlineStr">
        <is>
          <t xml:space="preserve">sure </t>
        </is>
      </c>
      <c r="B5737">
        <f>VLOOKUP(1106,Requirements!A2:B2967,2,FALSE)</f>
        <v/>
      </c>
    </row>
    <row r="5738">
      <c r="A5738" t="inlineStr">
        <is>
          <t xml:space="preserve">sure </t>
        </is>
      </c>
      <c r="B5738">
        <f>VLOOKUP(1295,Requirements!A2:B2967,2,FALSE)</f>
        <v/>
      </c>
    </row>
    <row r="5739">
      <c r="A5739" t="inlineStr">
        <is>
          <t xml:space="preserve">sure </t>
        </is>
      </c>
      <c r="B5739">
        <f>VLOOKUP(1297,Requirements!A2:B2967,2,FALSE)</f>
        <v/>
      </c>
    </row>
    <row r="5740">
      <c r="A5740" t="inlineStr">
        <is>
          <t xml:space="preserve">sure </t>
        </is>
      </c>
      <c r="B5740">
        <f>VLOOKUP(1685,Requirements!A2:B2967,2,FALSE)</f>
        <v/>
      </c>
    </row>
    <row r="5741">
      <c r="A5741" t="inlineStr">
        <is>
          <t xml:space="preserve">sure </t>
        </is>
      </c>
      <c r="B5741">
        <f>VLOOKUP(1703,Requirements!A2:B2967,2,FALSE)</f>
        <v/>
      </c>
    </row>
    <row r="5742">
      <c r="A5742" t="inlineStr">
        <is>
          <t xml:space="preserve">sure </t>
        </is>
      </c>
      <c r="B5742">
        <f>VLOOKUP(1898,Requirements!A2:B2967,2,FALSE)</f>
        <v/>
      </c>
    </row>
    <row r="5743">
      <c r="A5743" t="inlineStr">
        <is>
          <t xml:space="preserve">sure </t>
        </is>
      </c>
      <c r="B5743">
        <f>VLOOKUP(1925,Requirements!A2:B2967,2,FALSE)</f>
        <v/>
      </c>
    </row>
    <row r="5744">
      <c r="A5744" t="inlineStr">
        <is>
          <t xml:space="preserve">sure </t>
        </is>
      </c>
      <c r="B5744">
        <f>VLOOKUP(2105,Requirements!A2:B2967,2,FALSE)</f>
        <v/>
      </c>
    </row>
    <row r="5745">
      <c r="A5745" t="inlineStr">
        <is>
          <t xml:space="preserve">sure </t>
        </is>
      </c>
      <c r="B5745">
        <f>VLOOKUP(2326,Requirements!A2:B2967,2,FALSE)</f>
        <v/>
      </c>
    </row>
    <row r="5746">
      <c r="A5746" t="inlineStr">
        <is>
          <t xml:space="preserve">sure </t>
        </is>
      </c>
      <c r="B5746">
        <f>VLOOKUP(2330,Requirements!A2:B2967,2,FALSE)</f>
        <v/>
      </c>
    </row>
    <row r="5747">
      <c r="A5747" t="inlineStr">
        <is>
          <t xml:space="preserve">sure </t>
        </is>
      </c>
      <c r="B5747">
        <f>VLOOKUP(2398,Requirements!A2:B2967,2,FALSE)</f>
        <v/>
      </c>
    </row>
    <row r="5748">
      <c r="A5748" t="inlineStr">
        <is>
          <t xml:space="preserve">sure </t>
        </is>
      </c>
      <c r="B5748">
        <f>VLOOKUP(2705,Requirements!A2:B2967,2,FALSE)</f>
        <v/>
      </c>
    </row>
    <row r="5749">
      <c r="A5749" t="inlineStr">
        <is>
          <t xml:space="preserve">sure </t>
        </is>
      </c>
      <c r="B5749">
        <f>VLOOKUP(2896,Requirements!A2:B2967,2,FALSE)</f>
        <v/>
      </c>
    </row>
    <row r="5750">
      <c r="A5750" t="inlineStr">
        <is>
          <t xml:space="preserve">sure </t>
        </is>
      </c>
      <c r="B5750">
        <f>VLOOKUP(2904,Requirements!A2:B2967,2,FALSE)</f>
        <v/>
      </c>
    </row>
    <row r="5751">
      <c r="A5751" t="inlineStr">
        <is>
          <t xml:space="preserve">sure </t>
        </is>
      </c>
      <c r="B5751">
        <f>VLOOKUP(2935,Requirements!A2:B2967,2,FALSE)</f>
        <v/>
      </c>
    </row>
    <row r="5752">
      <c r="A5752" t="inlineStr">
        <is>
          <t xml:space="preserve">sure </t>
        </is>
      </c>
      <c r="B5752">
        <f>VLOOKUP(2944,Requirements!A2:B2967,2,FALSE)</f>
        <v/>
      </c>
    </row>
    <row r="5753">
      <c r="A5753" t="inlineStr">
        <is>
          <t xml:space="preserve">sure </t>
        </is>
      </c>
      <c r="B5753">
        <f>VLOOKUP(2972,Requirements!A2:B2967,2,FALSE)</f>
        <v/>
      </c>
    </row>
    <row r="5754">
      <c r="A5754" t="inlineStr">
        <is>
          <t xml:space="preserve">sure </t>
        </is>
      </c>
      <c r="B5754">
        <f>VLOOKUP(3077,Requirements!A2:B2967,2,FALSE)</f>
        <v/>
      </c>
    </row>
    <row r="5755">
      <c r="A5755" t="inlineStr">
        <is>
          <t xml:space="preserve">case </t>
        </is>
      </c>
      <c r="B5755">
        <f>VLOOKUP(38,Requirements!A2:B2967,2,FALSE)</f>
        <v/>
      </c>
    </row>
    <row r="5756">
      <c r="A5756" t="inlineStr">
        <is>
          <t xml:space="preserve">case </t>
        </is>
      </c>
      <c r="B5756">
        <f>VLOOKUP(192,Requirements!A2:B2967,2,FALSE)</f>
        <v/>
      </c>
    </row>
    <row r="5757">
      <c r="A5757" t="inlineStr">
        <is>
          <t xml:space="preserve">case </t>
        </is>
      </c>
      <c r="B5757">
        <f>VLOOKUP(441,Requirements!A2:B2967,2,FALSE)</f>
        <v/>
      </c>
    </row>
    <row r="5758">
      <c r="A5758" t="inlineStr">
        <is>
          <t xml:space="preserve">case </t>
        </is>
      </c>
      <c r="B5758">
        <f>VLOOKUP(687,Requirements!A2:B2967,2,FALSE)</f>
        <v/>
      </c>
    </row>
    <row r="5759">
      <c r="A5759" t="inlineStr">
        <is>
          <t xml:space="preserve">case </t>
        </is>
      </c>
      <c r="B5759">
        <f>VLOOKUP(822,Requirements!A2:B2967,2,FALSE)</f>
        <v/>
      </c>
    </row>
    <row r="5760">
      <c r="A5760" t="inlineStr">
        <is>
          <t xml:space="preserve">case </t>
        </is>
      </c>
      <c r="B5760">
        <f>VLOOKUP(1058,Requirements!A2:B2967,2,FALSE)</f>
        <v/>
      </c>
    </row>
    <row r="5761">
      <c r="A5761" t="inlineStr">
        <is>
          <t xml:space="preserve">case </t>
        </is>
      </c>
      <c r="B5761">
        <f>VLOOKUP(1393,Requirements!A2:B2967,2,FALSE)</f>
        <v/>
      </c>
    </row>
    <row r="5762">
      <c r="A5762" t="inlineStr">
        <is>
          <t xml:space="preserve">case </t>
        </is>
      </c>
      <c r="B5762">
        <f>VLOOKUP(1405,Requirements!A2:B2967,2,FALSE)</f>
        <v/>
      </c>
    </row>
    <row r="5763">
      <c r="A5763" t="inlineStr">
        <is>
          <t xml:space="preserve">case </t>
        </is>
      </c>
      <c r="B5763">
        <f>VLOOKUP(1413,Requirements!A2:B2967,2,FALSE)</f>
        <v/>
      </c>
    </row>
    <row r="5764">
      <c r="A5764" t="inlineStr">
        <is>
          <t xml:space="preserve">case </t>
        </is>
      </c>
      <c r="B5764">
        <f>VLOOKUP(1579,Requirements!A2:B2967,2,FALSE)</f>
        <v/>
      </c>
    </row>
    <row r="5765">
      <c r="A5765" t="inlineStr">
        <is>
          <t xml:space="preserve">case </t>
        </is>
      </c>
      <c r="B5765">
        <f>VLOOKUP(1788,Requirements!A2:B2967,2,FALSE)</f>
        <v/>
      </c>
    </row>
    <row r="5766">
      <c r="A5766" t="inlineStr">
        <is>
          <t xml:space="preserve">case </t>
        </is>
      </c>
      <c r="B5766">
        <f>VLOOKUP(2111,Requirements!A2:B2967,2,FALSE)</f>
        <v/>
      </c>
    </row>
    <row r="5767">
      <c r="A5767" t="inlineStr">
        <is>
          <t xml:space="preserve">case </t>
        </is>
      </c>
      <c r="B5767">
        <f>VLOOKUP(2479,Requirements!A2:B2967,2,FALSE)</f>
        <v/>
      </c>
    </row>
    <row r="5768">
      <c r="A5768" t="inlineStr">
        <is>
          <t xml:space="preserve">case </t>
        </is>
      </c>
      <c r="B5768">
        <f>VLOOKUP(2521,Requirements!A2:B2967,2,FALSE)</f>
        <v/>
      </c>
    </row>
    <row r="5769">
      <c r="A5769" t="inlineStr">
        <is>
          <t xml:space="preserve">case </t>
        </is>
      </c>
      <c r="B5769">
        <f>VLOOKUP(2523,Requirements!A2:B2967,2,FALSE)</f>
        <v/>
      </c>
    </row>
    <row r="5770">
      <c r="A5770" t="inlineStr">
        <is>
          <t xml:space="preserve">case </t>
        </is>
      </c>
      <c r="B5770">
        <f>VLOOKUP(2672,Requirements!A2:B2967,2,FALSE)</f>
        <v/>
      </c>
    </row>
    <row r="5771">
      <c r="A5771" t="inlineStr">
        <is>
          <t xml:space="preserve">case </t>
        </is>
      </c>
      <c r="B5771">
        <f>VLOOKUP(2753,Requirements!A2:B2967,2,FALSE)</f>
        <v/>
      </c>
    </row>
    <row r="5772">
      <c r="A5772" t="inlineStr">
        <is>
          <t xml:space="preserve">case </t>
        </is>
      </c>
      <c r="B5772">
        <f>VLOOKUP(2795,Requirements!A2:B2967,2,FALSE)</f>
        <v/>
      </c>
    </row>
    <row r="5773">
      <c r="A5773" t="inlineStr">
        <is>
          <t xml:space="preserve">case </t>
        </is>
      </c>
      <c r="B5773">
        <f>VLOOKUP(2800,Requirements!A2:B2967,2,FALSE)</f>
        <v/>
      </c>
    </row>
    <row r="5774">
      <c r="A5774" t="inlineStr">
        <is>
          <t xml:space="preserve">case </t>
        </is>
      </c>
      <c r="B5774">
        <f>VLOOKUP(2960,Requirements!A2:B2967,2,FALSE)</f>
        <v/>
      </c>
    </row>
    <row r="5775">
      <c r="A5775" t="inlineStr">
        <is>
          <t xml:space="preserve">case </t>
        </is>
      </c>
      <c r="B5775">
        <f>VLOOKUP(2963,Requirements!A2:B2967,2,FALSE)</f>
        <v/>
      </c>
    </row>
    <row r="5776">
      <c r="A5776" t="inlineStr">
        <is>
          <t xml:space="preserve">case </t>
        </is>
      </c>
      <c r="B5776">
        <f>VLOOKUP(2994,Requirements!A2:B2967,2,FALSE)</f>
        <v/>
      </c>
    </row>
    <row r="5777">
      <c r="A5777" t="inlineStr">
        <is>
          <t xml:space="preserve">case </t>
        </is>
      </c>
      <c r="B5777">
        <f>VLOOKUP(3034,Requirements!A2:B2967,2,FALSE)</f>
        <v/>
      </c>
    </row>
    <row r="5778">
      <c r="A5778" t="inlineStr">
        <is>
          <t xml:space="preserve">baby </t>
        </is>
      </c>
      <c r="B5778">
        <f>VLOOKUP(38,Requirements!A2:B2967,2,FALSE)</f>
        <v/>
      </c>
    </row>
    <row r="5779">
      <c r="A5779" t="inlineStr">
        <is>
          <t xml:space="preserve">baby </t>
        </is>
      </c>
      <c r="B5779">
        <f>VLOOKUP(349,Requirements!A2:B2967,2,FALSE)</f>
        <v/>
      </c>
    </row>
    <row r="5780">
      <c r="A5780" t="inlineStr">
        <is>
          <t xml:space="preserve">baby </t>
        </is>
      </c>
      <c r="B5780">
        <f>VLOOKUP(488,Requirements!A2:B2967,2,FALSE)</f>
        <v/>
      </c>
    </row>
    <row r="5781">
      <c r="A5781" t="inlineStr">
        <is>
          <t xml:space="preserve">baby </t>
        </is>
      </c>
      <c r="B5781">
        <f>VLOOKUP(516,Requirements!A2:B2967,2,FALSE)</f>
        <v/>
      </c>
    </row>
    <row r="5782">
      <c r="A5782" t="inlineStr">
        <is>
          <t xml:space="preserve">baby </t>
        </is>
      </c>
      <c r="B5782">
        <f>VLOOKUP(519,Requirements!A2:B2967,2,FALSE)</f>
        <v/>
      </c>
    </row>
    <row r="5783">
      <c r="A5783" t="inlineStr">
        <is>
          <t xml:space="preserve">baby </t>
        </is>
      </c>
      <c r="B5783">
        <f>VLOOKUP(648,Requirements!A2:B2967,2,FALSE)</f>
        <v/>
      </c>
    </row>
    <row r="5784">
      <c r="A5784" t="inlineStr">
        <is>
          <t xml:space="preserve">baby </t>
        </is>
      </c>
      <c r="B5784">
        <f>VLOOKUP(869,Requirements!A2:B2967,2,FALSE)</f>
        <v/>
      </c>
    </row>
    <row r="5785">
      <c r="A5785" t="inlineStr">
        <is>
          <t xml:space="preserve">baby </t>
        </is>
      </c>
      <c r="B5785">
        <f>VLOOKUP(963,Requirements!A2:B2967,2,FALSE)</f>
        <v/>
      </c>
    </row>
    <row r="5786">
      <c r="A5786" t="inlineStr">
        <is>
          <t xml:space="preserve">baby </t>
        </is>
      </c>
      <c r="B5786">
        <f>VLOOKUP(998,Requirements!A2:B2967,2,FALSE)</f>
        <v/>
      </c>
    </row>
    <row r="5787">
      <c r="A5787" t="inlineStr">
        <is>
          <t xml:space="preserve">baby </t>
        </is>
      </c>
      <c r="B5787">
        <f>VLOOKUP(1226,Requirements!A2:B2967,2,FALSE)</f>
        <v/>
      </c>
    </row>
    <row r="5788">
      <c r="A5788" t="inlineStr">
        <is>
          <t xml:space="preserve">baby </t>
        </is>
      </c>
      <c r="B5788">
        <f>VLOOKUP(1260,Requirements!A2:B2967,2,FALSE)</f>
        <v/>
      </c>
    </row>
    <row r="5789">
      <c r="A5789" t="inlineStr">
        <is>
          <t xml:space="preserve">baby </t>
        </is>
      </c>
      <c r="B5789">
        <f>VLOOKUP(1506,Requirements!A2:B2967,2,FALSE)</f>
        <v/>
      </c>
    </row>
    <row r="5790">
      <c r="A5790" t="inlineStr">
        <is>
          <t xml:space="preserve">baby </t>
        </is>
      </c>
      <c r="B5790">
        <f>VLOOKUP(1758,Requirements!A2:B2967,2,FALSE)</f>
        <v/>
      </c>
    </row>
    <row r="5791">
      <c r="A5791" t="inlineStr">
        <is>
          <t xml:space="preserve">baby </t>
        </is>
      </c>
      <c r="B5791">
        <f>VLOOKUP(1970,Requirements!A2:B2967,2,FALSE)</f>
        <v/>
      </c>
    </row>
    <row r="5792">
      <c r="A5792" t="inlineStr">
        <is>
          <t xml:space="preserve">baby </t>
        </is>
      </c>
      <c r="B5792">
        <f>VLOOKUP(2045,Requirements!A2:B2967,2,FALSE)</f>
        <v/>
      </c>
    </row>
    <row r="5793">
      <c r="A5793" t="inlineStr">
        <is>
          <t xml:space="preserve">baby </t>
        </is>
      </c>
      <c r="B5793">
        <f>VLOOKUP(2765,Requirements!A2:B2967,2,FALSE)</f>
        <v/>
      </c>
    </row>
    <row r="5794">
      <c r="A5794" t="inlineStr">
        <is>
          <t xml:space="preserve">baby </t>
        </is>
      </c>
      <c r="B5794">
        <f>VLOOKUP(2965,Requirements!A2:B2967,2,FALSE)</f>
        <v/>
      </c>
    </row>
    <row r="5795">
      <c r="A5795" t="inlineStr">
        <is>
          <t xml:space="preserve">baby </t>
        </is>
      </c>
      <c r="B5795">
        <f>VLOOKUP(3033,Requirements!A2:B2967,2,FALSE)</f>
        <v/>
      </c>
    </row>
    <row r="5796">
      <c r="A5796" t="inlineStr">
        <is>
          <t xml:space="preserve">baby </t>
        </is>
      </c>
      <c r="B5796">
        <f>VLOOKUP(3225,Requirements!A2:B2967,2,FALSE)</f>
        <v/>
      </c>
    </row>
    <row r="5797">
      <c r="A5797" t="inlineStr">
        <is>
          <t xml:space="preserve">baby </t>
        </is>
      </c>
      <c r="B5797">
        <f>VLOOKUP(3247,Requirements!A2:B2967,2,FALSE)</f>
        <v/>
      </c>
    </row>
    <row r="5798">
      <c r="A5798" t="inlineStr">
        <is>
          <t xml:space="preserve">anything </t>
        </is>
      </c>
      <c r="B5798">
        <f>VLOOKUP(38,Requirements!A2:B2967,2,FALSE)</f>
        <v/>
      </c>
    </row>
    <row r="5799">
      <c r="A5799" t="inlineStr">
        <is>
          <t xml:space="preserve">anything </t>
        </is>
      </c>
      <c r="B5799">
        <f>VLOOKUP(264,Requirements!A2:B2967,2,FALSE)</f>
        <v/>
      </c>
    </row>
    <row r="5800">
      <c r="A5800" t="inlineStr">
        <is>
          <t xml:space="preserve">anything </t>
        </is>
      </c>
      <c r="B5800">
        <f>VLOOKUP(267,Requirements!A2:B2967,2,FALSE)</f>
        <v/>
      </c>
    </row>
    <row r="5801">
      <c r="A5801" t="inlineStr">
        <is>
          <t xml:space="preserve">anything </t>
        </is>
      </c>
      <c r="B5801">
        <f>VLOOKUP(349,Requirements!A2:B2967,2,FALSE)</f>
        <v/>
      </c>
    </row>
    <row r="5802">
      <c r="A5802" t="inlineStr">
        <is>
          <t xml:space="preserve">anything </t>
        </is>
      </c>
      <c r="B5802">
        <f>VLOOKUP(379,Requirements!A2:B2967,2,FALSE)</f>
        <v/>
      </c>
    </row>
    <row r="5803">
      <c r="A5803" t="inlineStr">
        <is>
          <t xml:space="preserve">anything </t>
        </is>
      </c>
      <c r="B5803">
        <f>VLOOKUP(429,Requirements!A2:B2967,2,FALSE)</f>
        <v/>
      </c>
    </row>
    <row r="5804">
      <c r="A5804" t="inlineStr">
        <is>
          <t xml:space="preserve">anything </t>
        </is>
      </c>
      <c r="B5804">
        <f>VLOOKUP(496,Requirements!A2:B2967,2,FALSE)</f>
        <v/>
      </c>
    </row>
    <row r="5805">
      <c r="A5805" t="inlineStr">
        <is>
          <t xml:space="preserve">anything </t>
        </is>
      </c>
      <c r="B5805">
        <f>VLOOKUP(916,Requirements!A2:B2967,2,FALSE)</f>
        <v/>
      </c>
    </row>
    <row r="5806">
      <c r="A5806" t="inlineStr">
        <is>
          <t xml:space="preserve">anything </t>
        </is>
      </c>
      <c r="B5806">
        <f>VLOOKUP(1246,Requirements!A2:B2967,2,FALSE)</f>
        <v/>
      </c>
    </row>
    <row r="5807">
      <c r="A5807" t="inlineStr">
        <is>
          <t xml:space="preserve">anything </t>
        </is>
      </c>
      <c r="B5807">
        <f>VLOOKUP(1266,Requirements!A2:B2967,2,FALSE)</f>
        <v/>
      </c>
    </row>
    <row r="5808">
      <c r="A5808" t="inlineStr">
        <is>
          <t xml:space="preserve">anything </t>
        </is>
      </c>
      <c r="B5808">
        <f>VLOOKUP(1384,Requirements!A2:B2967,2,FALSE)</f>
        <v/>
      </c>
    </row>
    <row r="5809">
      <c r="A5809" t="inlineStr">
        <is>
          <t xml:space="preserve">anything </t>
        </is>
      </c>
      <c r="B5809">
        <f>VLOOKUP(1567,Requirements!A2:B2967,2,FALSE)</f>
        <v/>
      </c>
    </row>
    <row r="5810">
      <c r="A5810" t="inlineStr">
        <is>
          <t xml:space="preserve">anything </t>
        </is>
      </c>
      <c r="B5810">
        <f>VLOOKUP(1712,Requirements!A2:B2967,2,FALSE)</f>
        <v/>
      </c>
    </row>
    <row r="5811">
      <c r="A5811" t="inlineStr">
        <is>
          <t xml:space="preserve">anything </t>
        </is>
      </c>
      <c r="B5811">
        <f>VLOOKUP(1830,Requirements!A2:B2967,2,FALSE)</f>
        <v/>
      </c>
    </row>
    <row r="5812">
      <c r="A5812" t="inlineStr">
        <is>
          <t xml:space="preserve">anything </t>
        </is>
      </c>
      <c r="B5812">
        <f>VLOOKUP(1843,Requirements!A2:B2967,2,FALSE)</f>
        <v/>
      </c>
    </row>
    <row r="5813">
      <c r="A5813" t="inlineStr">
        <is>
          <t xml:space="preserve">anything </t>
        </is>
      </c>
      <c r="B5813">
        <f>VLOOKUP(2130,Requirements!A2:B2967,2,FALSE)</f>
        <v/>
      </c>
    </row>
    <row r="5814">
      <c r="A5814" t="inlineStr">
        <is>
          <t xml:space="preserve">anything </t>
        </is>
      </c>
      <c r="B5814">
        <f>VLOOKUP(2256,Requirements!A2:B2967,2,FALSE)</f>
        <v/>
      </c>
    </row>
    <row r="5815">
      <c r="A5815" t="inlineStr">
        <is>
          <t xml:space="preserve">anything </t>
        </is>
      </c>
      <c r="B5815">
        <f>VLOOKUP(2438,Requirements!A2:B2967,2,FALSE)</f>
        <v/>
      </c>
    </row>
    <row r="5816">
      <c r="A5816" t="inlineStr">
        <is>
          <t xml:space="preserve">anything </t>
        </is>
      </c>
      <c r="B5816">
        <f>VLOOKUP(2506,Requirements!A2:B2967,2,FALSE)</f>
        <v/>
      </c>
    </row>
    <row r="5817">
      <c r="A5817" t="inlineStr">
        <is>
          <t xml:space="preserve">anything </t>
        </is>
      </c>
      <c r="B5817">
        <f>VLOOKUP(2519,Requirements!A2:B2967,2,FALSE)</f>
        <v/>
      </c>
    </row>
    <row r="5818">
      <c r="A5818" t="inlineStr">
        <is>
          <t xml:space="preserve">anything </t>
        </is>
      </c>
      <c r="B5818">
        <f>VLOOKUP(2522,Requirements!A2:B2967,2,FALSE)</f>
        <v/>
      </c>
    </row>
    <row r="5819">
      <c r="A5819" t="inlineStr">
        <is>
          <t xml:space="preserve">anything </t>
        </is>
      </c>
      <c r="B5819">
        <f>VLOOKUP(2578,Requirements!A2:B2967,2,FALSE)</f>
        <v/>
      </c>
    </row>
    <row r="5820">
      <c r="A5820" t="inlineStr">
        <is>
          <t xml:space="preserve">anything </t>
        </is>
      </c>
      <c r="B5820">
        <f>VLOOKUP(2699,Requirements!A2:B2967,2,FALSE)</f>
        <v/>
      </c>
    </row>
    <row r="5821">
      <c r="A5821" t="inlineStr">
        <is>
          <t xml:space="preserve">anything </t>
        </is>
      </c>
      <c r="B5821">
        <f>VLOOKUP(3079,Requirements!A2:B2967,2,FALSE)</f>
        <v/>
      </c>
    </row>
    <row r="5822">
      <c r="A5822" t="inlineStr">
        <is>
          <t xml:space="preserve">anything </t>
        </is>
      </c>
      <c r="B5822">
        <f>VLOOKUP(3092,Requirements!A2:B2967,2,FALSE)</f>
        <v/>
      </c>
    </row>
    <row r="5823">
      <c r="A5823" t="inlineStr">
        <is>
          <t xml:space="preserve">anything </t>
        </is>
      </c>
      <c r="B5823">
        <f>VLOOKUP(3109,Requirements!A2:B2967,2,FALSE)</f>
        <v/>
      </c>
    </row>
    <row r="5824">
      <c r="A5824" t="inlineStr">
        <is>
          <t xml:space="preserve">anything </t>
        </is>
      </c>
      <c r="B5824">
        <f>VLOOKUP(3267,Requirements!A2:B2967,2,FALSE)</f>
        <v/>
      </c>
    </row>
    <row r="5825">
      <c r="A5825" t="inlineStr">
        <is>
          <t xml:space="preserve">electricity bill </t>
        </is>
      </c>
      <c r="B5825">
        <f>VLOOKUP(39,Requirements!A2:B2967,2,FALSE)</f>
        <v/>
      </c>
    </row>
    <row r="5826">
      <c r="A5826" t="inlineStr">
        <is>
          <t xml:space="preserve">electricity bill </t>
        </is>
      </c>
      <c r="B5826">
        <f>VLOOKUP(88,Requirements!A2:B2967,2,FALSE)</f>
        <v/>
      </c>
    </row>
    <row r="5827">
      <c r="A5827" t="inlineStr">
        <is>
          <t xml:space="preserve">electricity bill </t>
        </is>
      </c>
      <c r="B5827">
        <f>VLOOKUP(332,Requirements!A2:B2967,2,FALSE)</f>
        <v/>
      </c>
    </row>
    <row r="5828">
      <c r="A5828" t="inlineStr">
        <is>
          <t xml:space="preserve">electricity bill </t>
        </is>
      </c>
      <c r="B5828">
        <f>VLOOKUP(492,Requirements!A2:B2967,2,FALSE)</f>
        <v/>
      </c>
    </row>
    <row r="5829">
      <c r="A5829" t="inlineStr">
        <is>
          <t xml:space="preserve">electricity bill </t>
        </is>
      </c>
      <c r="B5829">
        <f>VLOOKUP(1062,Requirements!A2:B2967,2,FALSE)</f>
        <v/>
      </c>
    </row>
    <row r="5830">
      <c r="A5830" t="inlineStr">
        <is>
          <t xml:space="preserve">electricity bill </t>
        </is>
      </c>
      <c r="B5830">
        <f>VLOOKUP(1380,Requirements!A2:B2967,2,FALSE)</f>
        <v/>
      </c>
    </row>
    <row r="5831">
      <c r="A5831" t="inlineStr">
        <is>
          <t xml:space="preserve">electricity bill </t>
        </is>
      </c>
      <c r="B5831">
        <f>VLOOKUP(2853,Requirements!A2:B2967,2,FALSE)</f>
        <v/>
      </c>
    </row>
    <row r="5832">
      <c r="A5832" t="inlineStr">
        <is>
          <t xml:space="preserve">family member </t>
        </is>
      </c>
      <c r="B5832">
        <f>VLOOKUP(40,Requirements!A2:B2967,2,FALSE)</f>
        <v/>
      </c>
    </row>
    <row r="5833">
      <c r="A5833" t="inlineStr">
        <is>
          <t xml:space="preserve">family member </t>
        </is>
      </c>
      <c r="B5833">
        <f>VLOOKUP(41,Requirements!A2:B2967,2,FALSE)</f>
        <v/>
      </c>
    </row>
    <row r="5834">
      <c r="A5834" t="inlineStr">
        <is>
          <t xml:space="preserve">family member </t>
        </is>
      </c>
      <c r="B5834">
        <f>VLOOKUP(173,Requirements!A2:B2967,2,FALSE)</f>
        <v/>
      </c>
    </row>
    <row r="5835">
      <c r="A5835" t="inlineStr">
        <is>
          <t xml:space="preserve">family member </t>
        </is>
      </c>
      <c r="B5835">
        <f>VLOOKUP(1202,Requirements!A2:B2967,2,FALSE)</f>
        <v/>
      </c>
    </row>
    <row r="5836">
      <c r="A5836" t="inlineStr">
        <is>
          <t xml:space="preserve">family member </t>
        </is>
      </c>
      <c r="B5836">
        <f>VLOOKUP(1208,Requirements!A2:B2967,2,FALSE)</f>
        <v/>
      </c>
    </row>
    <row r="5837">
      <c r="A5837" t="inlineStr">
        <is>
          <t xml:space="preserve">family member </t>
        </is>
      </c>
      <c r="B5837">
        <f>VLOOKUP(1441,Requirements!A2:B2967,2,FALSE)</f>
        <v/>
      </c>
    </row>
    <row r="5838">
      <c r="A5838" t="inlineStr">
        <is>
          <t xml:space="preserve">family member </t>
        </is>
      </c>
      <c r="B5838">
        <f>VLOOKUP(1559,Requirements!A2:B2967,2,FALSE)</f>
        <v/>
      </c>
    </row>
    <row r="5839">
      <c r="A5839" t="inlineStr">
        <is>
          <t xml:space="preserve">family member </t>
        </is>
      </c>
      <c r="B5839">
        <f>VLOOKUP(1623,Requirements!A2:B2967,2,FALSE)</f>
        <v/>
      </c>
    </row>
    <row r="5840">
      <c r="A5840" t="inlineStr">
        <is>
          <t xml:space="preserve">family member </t>
        </is>
      </c>
      <c r="B5840">
        <f>VLOOKUP(1626,Requirements!A2:B2967,2,FALSE)</f>
        <v/>
      </c>
    </row>
    <row r="5841">
      <c r="A5841" t="inlineStr">
        <is>
          <t xml:space="preserve">family member </t>
        </is>
      </c>
      <c r="B5841">
        <f>VLOOKUP(1639,Requirements!A2:B2967,2,FALSE)</f>
        <v/>
      </c>
    </row>
    <row r="5842">
      <c r="A5842" t="inlineStr">
        <is>
          <t xml:space="preserve">family member </t>
        </is>
      </c>
      <c r="B5842">
        <f>VLOOKUP(1650,Requirements!A2:B2967,2,FALSE)</f>
        <v/>
      </c>
    </row>
    <row r="5843">
      <c r="A5843" t="inlineStr">
        <is>
          <t xml:space="preserve">family member </t>
        </is>
      </c>
      <c r="B5843">
        <f>VLOOKUP(1701,Requirements!A2:B2967,2,FALSE)</f>
        <v/>
      </c>
    </row>
    <row r="5844">
      <c r="A5844" t="inlineStr">
        <is>
          <t xml:space="preserve">family member </t>
        </is>
      </c>
      <c r="B5844">
        <f>VLOOKUP(2071,Requirements!A2:B2967,2,FALSE)</f>
        <v/>
      </c>
    </row>
    <row r="5845">
      <c r="A5845" t="inlineStr">
        <is>
          <t xml:space="preserve">family member </t>
        </is>
      </c>
      <c r="B5845">
        <f>VLOOKUP(2396,Requirements!A2:B2967,2,FALSE)</f>
        <v/>
      </c>
    </row>
    <row r="5846">
      <c r="A5846" t="inlineStr">
        <is>
          <t xml:space="preserve">pet </t>
        </is>
      </c>
      <c r="B5846">
        <f>VLOOKUP(40,Requirements!A2:B2967,2,FALSE)</f>
        <v/>
      </c>
    </row>
    <row r="5847">
      <c r="A5847" t="inlineStr">
        <is>
          <t xml:space="preserve">pet </t>
        </is>
      </c>
      <c r="B5847">
        <f>VLOOKUP(58,Requirements!A2:B2967,2,FALSE)</f>
        <v/>
      </c>
    </row>
    <row r="5848">
      <c r="A5848" t="inlineStr">
        <is>
          <t xml:space="preserve">pet </t>
        </is>
      </c>
      <c r="B5848">
        <f>VLOOKUP(61,Requirements!A2:B2967,2,FALSE)</f>
        <v/>
      </c>
    </row>
    <row r="5849">
      <c r="A5849" t="inlineStr">
        <is>
          <t xml:space="preserve">pet </t>
        </is>
      </c>
      <c r="B5849">
        <f>VLOOKUP(347,Requirements!A2:B2967,2,FALSE)</f>
        <v/>
      </c>
    </row>
    <row r="5850">
      <c r="A5850" t="inlineStr">
        <is>
          <t xml:space="preserve">pet </t>
        </is>
      </c>
      <c r="B5850">
        <f>VLOOKUP(358,Requirements!A2:B2967,2,FALSE)</f>
        <v/>
      </c>
    </row>
    <row r="5851">
      <c r="A5851" t="inlineStr">
        <is>
          <t xml:space="preserve">pet </t>
        </is>
      </c>
      <c r="B5851">
        <f>VLOOKUP(501,Requirements!A2:B2967,2,FALSE)</f>
        <v/>
      </c>
    </row>
    <row r="5852">
      <c r="A5852" t="inlineStr">
        <is>
          <t xml:space="preserve">pet </t>
        </is>
      </c>
      <c r="B5852">
        <f>VLOOKUP(556,Requirements!A2:B2967,2,FALSE)</f>
        <v/>
      </c>
    </row>
    <row r="5853">
      <c r="A5853" t="inlineStr">
        <is>
          <t xml:space="preserve">pet </t>
        </is>
      </c>
      <c r="B5853">
        <f>VLOOKUP(759,Requirements!A2:B2967,2,FALSE)</f>
        <v/>
      </c>
    </row>
    <row r="5854">
      <c r="A5854" t="inlineStr">
        <is>
          <t xml:space="preserve">pet </t>
        </is>
      </c>
      <c r="B5854">
        <f>VLOOKUP(774,Requirements!A2:B2967,2,FALSE)</f>
        <v/>
      </c>
    </row>
    <row r="5855">
      <c r="A5855" t="inlineStr">
        <is>
          <t xml:space="preserve">pet </t>
        </is>
      </c>
      <c r="B5855">
        <f>VLOOKUP(913,Requirements!A2:B2967,2,FALSE)</f>
        <v/>
      </c>
    </row>
    <row r="5856">
      <c r="A5856" t="inlineStr">
        <is>
          <t xml:space="preserve">pet </t>
        </is>
      </c>
      <c r="B5856">
        <f>VLOOKUP(1033,Requirements!A2:B2967,2,FALSE)</f>
        <v/>
      </c>
    </row>
    <row r="5857">
      <c r="A5857" t="inlineStr">
        <is>
          <t xml:space="preserve">pet </t>
        </is>
      </c>
      <c r="B5857">
        <f>VLOOKUP(1035,Requirements!A2:B2967,2,FALSE)</f>
        <v/>
      </c>
    </row>
    <row r="5858">
      <c r="A5858" t="inlineStr">
        <is>
          <t xml:space="preserve">pet </t>
        </is>
      </c>
      <c r="B5858">
        <f>VLOOKUP(1264,Requirements!A2:B2967,2,FALSE)</f>
        <v/>
      </c>
    </row>
    <row r="5859">
      <c r="A5859" t="inlineStr">
        <is>
          <t xml:space="preserve">pet </t>
        </is>
      </c>
      <c r="B5859">
        <f>VLOOKUP(1335,Requirements!A2:B2967,2,FALSE)</f>
        <v/>
      </c>
    </row>
    <row r="5860">
      <c r="A5860" t="inlineStr">
        <is>
          <t xml:space="preserve">pet </t>
        </is>
      </c>
      <c r="B5860">
        <f>VLOOKUP(1505,Requirements!A2:B2967,2,FALSE)</f>
        <v/>
      </c>
    </row>
    <row r="5861">
      <c r="A5861" t="inlineStr">
        <is>
          <t xml:space="preserve">pet </t>
        </is>
      </c>
      <c r="B5861">
        <f>VLOOKUP(1548,Requirements!A2:B2967,2,FALSE)</f>
        <v/>
      </c>
    </row>
    <row r="5862">
      <c r="A5862" t="inlineStr">
        <is>
          <t xml:space="preserve">pet </t>
        </is>
      </c>
      <c r="B5862">
        <f>VLOOKUP(1550,Requirements!A2:B2967,2,FALSE)</f>
        <v/>
      </c>
    </row>
    <row r="5863">
      <c r="A5863" t="inlineStr">
        <is>
          <t xml:space="preserve">pet </t>
        </is>
      </c>
      <c r="B5863">
        <f>VLOOKUP(1564,Requirements!A2:B2967,2,FALSE)</f>
        <v/>
      </c>
    </row>
    <row r="5864">
      <c r="A5864" t="inlineStr">
        <is>
          <t xml:space="preserve">pet </t>
        </is>
      </c>
      <c r="B5864">
        <f>VLOOKUP(1682,Requirements!A2:B2967,2,FALSE)</f>
        <v/>
      </c>
    </row>
    <row r="5865">
      <c r="A5865" t="inlineStr">
        <is>
          <t xml:space="preserve">pet </t>
        </is>
      </c>
      <c r="B5865">
        <f>VLOOKUP(1789,Requirements!A2:B2967,2,FALSE)</f>
        <v/>
      </c>
    </row>
    <row r="5866">
      <c r="A5866" t="inlineStr">
        <is>
          <t xml:space="preserve">pet </t>
        </is>
      </c>
      <c r="B5866">
        <f>VLOOKUP(1804,Requirements!A2:B2967,2,FALSE)</f>
        <v/>
      </c>
    </row>
    <row r="5867">
      <c r="A5867" t="inlineStr">
        <is>
          <t xml:space="preserve">pet </t>
        </is>
      </c>
      <c r="B5867">
        <f>VLOOKUP(1916,Requirements!A2:B2967,2,FALSE)</f>
        <v/>
      </c>
    </row>
    <row r="5868">
      <c r="A5868" t="inlineStr">
        <is>
          <t xml:space="preserve">pet </t>
        </is>
      </c>
      <c r="B5868">
        <f>VLOOKUP(1934,Requirements!A2:B2967,2,FALSE)</f>
        <v/>
      </c>
    </row>
    <row r="5869">
      <c r="A5869" t="inlineStr">
        <is>
          <t xml:space="preserve">pet </t>
        </is>
      </c>
      <c r="B5869">
        <f>VLOOKUP(1935,Requirements!A2:B2967,2,FALSE)</f>
        <v/>
      </c>
    </row>
    <row r="5870">
      <c r="A5870" t="inlineStr">
        <is>
          <t xml:space="preserve">pet </t>
        </is>
      </c>
      <c r="B5870">
        <f>VLOOKUP(1945,Requirements!A2:B2967,2,FALSE)</f>
        <v/>
      </c>
    </row>
    <row r="5871">
      <c r="A5871" t="inlineStr">
        <is>
          <t xml:space="preserve">pet </t>
        </is>
      </c>
      <c r="B5871">
        <f>VLOOKUP(1998,Requirements!A2:B2967,2,FALSE)</f>
        <v/>
      </c>
    </row>
    <row r="5872">
      <c r="A5872" t="inlineStr">
        <is>
          <t xml:space="preserve">pet </t>
        </is>
      </c>
      <c r="B5872">
        <f>VLOOKUP(2000,Requirements!A2:B2967,2,FALSE)</f>
        <v/>
      </c>
    </row>
    <row r="5873">
      <c r="A5873" t="inlineStr">
        <is>
          <t xml:space="preserve">pet </t>
        </is>
      </c>
      <c r="B5873">
        <f>VLOOKUP(2027,Requirements!A2:B2967,2,FALSE)</f>
        <v/>
      </c>
    </row>
    <row r="5874">
      <c r="A5874" t="inlineStr">
        <is>
          <t xml:space="preserve">pet </t>
        </is>
      </c>
      <c r="B5874">
        <f>VLOOKUP(2051,Requirements!A2:B2967,2,FALSE)</f>
        <v/>
      </c>
    </row>
    <row r="5875">
      <c r="A5875" t="inlineStr">
        <is>
          <t xml:space="preserve">pet </t>
        </is>
      </c>
      <c r="B5875">
        <f>VLOOKUP(2085,Requirements!A2:B2967,2,FALSE)</f>
        <v/>
      </c>
    </row>
    <row r="5876">
      <c r="A5876" t="inlineStr">
        <is>
          <t xml:space="preserve">pet </t>
        </is>
      </c>
      <c r="B5876">
        <f>VLOOKUP(2177,Requirements!A2:B2967,2,FALSE)</f>
        <v/>
      </c>
    </row>
    <row r="5877">
      <c r="A5877" t="inlineStr">
        <is>
          <t xml:space="preserve">pet </t>
        </is>
      </c>
      <c r="B5877">
        <f>VLOOKUP(2298,Requirements!A2:B2967,2,FALSE)</f>
        <v/>
      </c>
    </row>
    <row r="5878">
      <c r="A5878" t="inlineStr">
        <is>
          <t xml:space="preserve">pet </t>
        </is>
      </c>
      <c r="B5878">
        <f>VLOOKUP(2349,Requirements!A2:B2967,2,FALSE)</f>
        <v/>
      </c>
    </row>
    <row r="5879">
      <c r="A5879" t="inlineStr">
        <is>
          <t xml:space="preserve">pet </t>
        </is>
      </c>
      <c r="B5879">
        <f>VLOOKUP(2399,Requirements!A2:B2967,2,FALSE)</f>
        <v/>
      </c>
    </row>
    <row r="5880">
      <c r="A5880" t="inlineStr">
        <is>
          <t xml:space="preserve">pet </t>
        </is>
      </c>
      <c r="B5880">
        <f>VLOOKUP(2425,Requirements!A2:B2967,2,FALSE)</f>
        <v/>
      </c>
    </row>
    <row r="5881">
      <c r="A5881" t="inlineStr">
        <is>
          <t xml:space="preserve">pet </t>
        </is>
      </c>
      <c r="B5881">
        <f>VLOOKUP(2511,Requirements!A2:B2967,2,FALSE)</f>
        <v/>
      </c>
    </row>
    <row r="5882">
      <c r="A5882" t="inlineStr">
        <is>
          <t xml:space="preserve">pet </t>
        </is>
      </c>
      <c r="B5882">
        <f>VLOOKUP(2944,Requirements!A2:B2967,2,FALSE)</f>
        <v/>
      </c>
    </row>
    <row r="5883">
      <c r="A5883" t="inlineStr">
        <is>
          <t xml:space="preserve">pet </t>
        </is>
      </c>
      <c r="B5883">
        <f>VLOOKUP(2948,Requirements!A2:B2967,2,FALSE)</f>
        <v/>
      </c>
    </row>
    <row r="5884">
      <c r="A5884" t="inlineStr">
        <is>
          <t xml:space="preserve">pet </t>
        </is>
      </c>
      <c r="B5884">
        <f>VLOOKUP(2955,Requirements!A2:B2967,2,FALSE)</f>
        <v/>
      </c>
    </row>
    <row r="5885">
      <c r="A5885" t="inlineStr">
        <is>
          <t xml:space="preserve">pet </t>
        </is>
      </c>
      <c r="B5885">
        <f>VLOOKUP(2985,Requirements!A2:B2967,2,FALSE)</f>
        <v/>
      </c>
    </row>
    <row r="5886">
      <c r="A5886" t="inlineStr">
        <is>
          <t xml:space="preserve">pet </t>
        </is>
      </c>
      <c r="B5886">
        <f>VLOOKUP(3071,Requirements!A2:B2967,2,FALSE)</f>
        <v/>
      </c>
    </row>
    <row r="5887">
      <c r="A5887" t="inlineStr">
        <is>
          <t xml:space="preserve">pet </t>
        </is>
      </c>
      <c r="B5887">
        <f>VLOOKUP(3085,Requirements!A2:B2967,2,FALSE)</f>
        <v/>
      </c>
    </row>
    <row r="5888">
      <c r="A5888" t="inlineStr">
        <is>
          <t xml:space="preserve">pet </t>
        </is>
      </c>
      <c r="B5888">
        <f>VLOOKUP(3158,Requirements!A2:B2967,2,FALSE)</f>
        <v/>
      </c>
    </row>
    <row r="5889">
      <c r="A5889" t="inlineStr">
        <is>
          <t xml:space="preserve">pet </t>
        </is>
      </c>
      <c r="B5889">
        <f>VLOOKUP(3221,Requirements!A2:B2967,2,FALSE)</f>
        <v/>
      </c>
    </row>
    <row r="5890">
      <c r="A5890" t="inlineStr">
        <is>
          <t xml:space="preserve">pet </t>
        </is>
      </c>
      <c r="B5890">
        <f>VLOOKUP(3226,Requirements!A2:B2967,2,FALSE)</f>
        <v/>
      </c>
    </row>
    <row r="5891">
      <c r="A5891" t="inlineStr">
        <is>
          <t xml:space="preserve">someone </t>
        </is>
      </c>
      <c r="B5891">
        <f>VLOOKUP(41,Requirements!A2:B2967,2,FALSE)</f>
        <v/>
      </c>
    </row>
    <row r="5892">
      <c r="A5892" t="inlineStr">
        <is>
          <t xml:space="preserve">someone </t>
        </is>
      </c>
      <c r="B5892">
        <f>VLOOKUP(55,Requirements!A2:B2967,2,FALSE)</f>
        <v/>
      </c>
    </row>
    <row r="5893">
      <c r="A5893" t="inlineStr">
        <is>
          <t xml:space="preserve">someone </t>
        </is>
      </c>
      <c r="B5893">
        <f>VLOOKUP(100,Requirements!A2:B2967,2,FALSE)</f>
        <v/>
      </c>
    </row>
    <row r="5894">
      <c r="A5894" t="inlineStr">
        <is>
          <t xml:space="preserve">someone </t>
        </is>
      </c>
      <c r="B5894">
        <f>VLOOKUP(129,Requirements!A2:B2967,2,FALSE)</f>
        <v/>
      </c>
    </row>
    <row r="5895">
      <c r="A5895" t="inlineStr">
        <is>
          <t xml:space="preserve">someone </t>
        </is>
      </c>
      <c r="B5895">
        <f>VLOOKUP(166,Requirements!A2:B2967,2,FALSE)</f>
        <v/>
      </c>
    </row>
    <row r="5896">
      <c r="A5896" t="inlineStr">
        <is>
          <t xml:space="preserve">someone </t>
        </is>
      </c>
      <c r="B5896">
        <f>VLOOKUP(259,Requirements!A2:B2967,2,FALSE)</f>
        <v/>
      </c>
    </row>
    <row r="5897">
      <c r="A5897" t="inlineStr">
        <is>
          <t xml:space="preserve">someone </t>
        </is>
      </c>
      <c r="B5897">
        <f>VLOOKUP(271,Requirements!A2:B2967,2,FALSE)</f>
        <v/>
      </c>
    </row>
    <row r="5898">
      <c r="A5898" t="inlineStr">
        <is>
          <t xml:space="preserve">someone </t>
        </is>
      </c>
      <c r="B5898">
        <f>VLOOKUP(281,Requirements!A2:B2967,2,FALSE)</f>
        <v/>
      </c>
    </row>
    <row r="5899">
      <c r="A5899" t="inlineStr">
        <is>
          <t xml:space="preserve">someone </t>
        </is>
      </c>
      <c r="B5899">
        <f>VLOOKUP(290,Requirements!A2:B2967,2,FALSE)</f>
        <v/>
      </c>
    </row>
    <row r="5900">
      <c r="A5900" t="inlineStr">
        <is>
          <t xml:space="preserve">someone </t>
        </is>
      </c>
      <c r="B5900">
        <f>VLOOKUP(302,Requirements!A2:B2967,2,FALSE)</f>
        <v/>
      </c>
    </row>
    <row r="5901">
      <c r="A5901" t="inlineStr">
        <is>
          <t xml:space="preserve">someone </t>
        </is>
      </c>
      <c r="B5901">
        <f>VLOOKUP(344,Requirements!A2:B2967,2,FALSE)</f>
        <v/>
      </c>
    </row>
    <row r="5902">
      <c r="A5902" t="inlineStr">
        <is>
          <t xml:space="preserve">someone </t>
        </is>
      </c>
      <c r="B5902">
        <f>VLOOKUP(346,Requirements!A2:B2967,2,FALSE)</f>
        <v/>
      </c>
    </row>
    <row r="5903">
      <c r="A5903" t="inlineStr">
        <is>
          <t xml:space="preserve">someone </t>
        </is>
      </c>
      <c r="B5903">
        <f>VLOOKUP(354,Requirements!A2:B2967,2,FALSE)</f>
        <v/>
      </c>
    </row>
    <row r="5904">
      <c r="A5904" t="inlineStr">
        <is>
          <t xml:space="preserve">someone </t>
        </is>
      </c>
      <c r="B5904">
        <f>VLOOKUP(361,Requirements!A2:B2967,2,FALSE)</f>
        <v/>
      </c>
    </row>
    <row r="5905">
      <c r="A5905" t="inlineStr">
        <is>
          <t xml:space="preserve">someone </t>
        </is>
      </c>
      <c r="B5905">
        <f>VLOOKUP(365,Requirements!A2:B2967,2,FALSE)</f>
        <v/>
      </c>
    </row>
    <row r="5906">
      <c r="A5906" t="inlineStr">
        <is>
          <t xml:space="preserve">someone </t>
        </is>
      </c>
      <c r="B5906">
        <f>VLOOKUP(389,Requirements!A2:B2967,2,FALSE)</f>
        <v/>
      </c>
    </row>
    <row r="5907">
      <c r="A5907" t="inlineStr">
        <is>
          <t xml:space="preserve">someone </t>
        </is>
      </c>
      <c r="B5907">
        <f>VLOOKUP(405,Requirements!A2:B2967,2,FALSE)</f>
        <v/>
      </c>
    </row>
    <row r="5908">
      <c r="A5908" t="inlineStr">
        <is>
          <t xml:space="preserve">someone </t>
        </is>
      </c>
      <c r="B5908">
        <f>VLOOKUP(487,Requirements!A2:B2967,2,FALSE)</f>
        <v/>
      </c>
    </row>
    <row r="5909">
      <c r="A5909" t="inlineStr">
        <is>
          <t xml:space="preserve">someone </t>
        </is>
      </c>
      <c r="B5909">
        <f>VLOOKUP(494,Requirements!A2:B2967,2,FALSE)</f>
        <v/>
      </c>
    </row>
    <row r="5910">
      <c r="A5910" t="inlineStr">
        <is>
          <t xml:space="preserve">someone </t>
        </is>
      </c>
      <c r="B5910">
        <f>VLOOKUP(501,Requirements!A2:B2967,2,FALSE)</f>
        <v/>
      </c>
    </row>
    <row r="5911">
      <c r="A5911" t="inlineStr">
        <is>
          <t xml:space="preserve">someone </t>
        </is>
      </c>
      <c r="B5911">
        <f>VLOOKUP(525,Requirements!A2:B2967,2,FALSE)</f>
        <v/>
      </c>
    </row>
    <row r="5912">
      <c r="A5912" t="inlineStr">
        <is>
          <t xml:space="preserve">someone </t>
        </is>
      </c>
      <c r="B5912">
        <f>VLOOKUP(622,Requirements!A2:B2967,2,FALSE)</f>
        <v/>
      </c>
    </row>
    <row r="5913">
      <c r="A5913" t="inlineStr">
        <is>
          <t xml:space="preserve">someone </t>
        </is>
      </c>
      <c r="B5913">
        <f>VLOOKUP(641,Requirements!A2:B2967,2,FALSE)</f>
        <v/>
      </c>
    </row>
    <row r="5914">
      <c r="A5914" t="inlineStr">
        <is>
          <t xml:space="preserve">someone </t>
        </is>
      </c>
      <c r="B5914">
        <f>VLOOKUP(666,Requirements!A2:B2967,2,FALSE)</f>
        <v/>
      </c>
    </row>
    <row r="5915">
      <c r="A5915" t="inlineStr">
        <is>
          <t xml:space="preserve">someone </t>
        </is>
      </c>
      <c r="B5915">
        <f>VLOOKUP(667,Requirements!A2:B2967,2,FALSE)</f>
        <v/>
      </c>
    </row>
    <row r="5916">
      <c r="A5916" t="inlineStr">
        <is>
          <t xml:space="preserve">someone </t>
        </is>
      </c>
      <c r="B5916">
        <f>VLOOKUP(695,Requirements!A2:B2967,2,FALSE)</f>
        <v/>
      </c>
    </row>
    <row r="5917">
      <c r="A5917" t="inlineStr">
        <is>
          <t xml:space="preserve">someone </t>
        </is>
      </c>
      <c r="B5917">
        <f>VLOOKUP(703,Requirements!A2:B2967,2,FALSE)</f>
        <v/>
      </c>
    </row>
    <row r="5918">
      <c r="A5918" t="inlineStr">
        <is>
          <t xml:space="preserve">someone </t>
        </is>
      </c>
      <c r="B5918">
        <f>VLOOKUP(740,Requirements!A2:B2967,2,FALSE)</f>
        <v/>
      </c>
    </row>
    <row r="5919">
      <c r="A5919" t="inlineStr">
        <is>
          <t xml:space="preserve">someone </t>
        </is>
      </c>
      <c r="B5919">
        <f>VLOOKUP(858,Requirements!A2:B2967,2,FALSE)</f>
        <v/>
      </c>
    </row>
    <row r="5920">
      <c r="A5920" t="inlineStr">
        <is>
          <t xml:space="preserve">someone </t>
        </is>
      </c>
      <c r="B5920">
        <f>VLOOKUP(913,Requirements!A2:B2967,2,FALSE)</f>
        <v/>
      </c>
    </row>
    <row r="5921">
      <c r="A5921" t="inlineStr">
        <is>
          <t xml:space="preserve">someone </t>
        </is>
      </c>
      <c r="B5921">
        <f>VLOOKUP(926,Requirements!A2:B2967,2,FALSE)</f>
        <v/>
      </c>
    </row>
    <row r="5922">
      <c r="A5922" t="inlineStr">
        <is>
          <t xml:space="preserve">someone </t>
        </is>
      </c>
      <c r="B5922">
        <f>VLOOKUP(929,Requirements!A2:B2967,2,FALSE)</f>
        <v/>
      </c>
    </row>
    <row r="5923">
      <c r="A5923" t="inlineStr">
        <is>
          <t xml:space="preserve">someone </t>
        </is>
      </c>
      <c r="B5923">
        <f>VLOOKUP(970,Requirements!A2:B2967,2,FALSE)</f>
        <v/>
      </c>
    </row>
    <row r="5924">
      <c r="A5924" t="inlineStr">
        <is>
          <t xml:space="preserve">someone </t>
        </is>
      </c>
      <c r="B5924">
        <f>VLOOKUP(1087,Requirements!A2:B2967,2,FALSE)</f>
        <v/>
      </c>
    </row>
    <row r="5925">
      <c r="A5925" t="inlineStr">
        <is>
          <t xml:space="preserve">someone </t>
        </is>
      </c>
      <c r="B5925">
        <f>VLOOKUP(1107,Requirements!A2:B2967,2,FALSE)</f>
        <v/>
      </c>
    </row>
    <row r="5926">
      <c r="A5926" t="inlineStr">
        <is>
          <t xml:space="preserve">someone </t>
        </is>
      </c>
      <c r="B5926">
        <f>VLOOKUP(1109,Requirements!A2:B2967,2,FALSE)</f>
        <v/>
      </c>
    </row>
    <row r="5927">
      <c r="A5927" t="inlineStr">
        <is>
          <t xml:space="preserve">someone </t>
        </is>
      </c>
      <c r="B5927">
        <f>VLOOKUP(1133,Requirements!A2:B2967,2,FALSE)</f>
        <v/>
      </c>
    </row>
    <row r="5928">
      <c r="A5928" t="inlineStr">
        <is>
          <t xml:space="preserve">someone </t>
        </is>
      </c>
      <c r="B5928">
        <f>VLOOKUP(1152,Requirements!A2:B2967,2,FALSE)</f>
        <v/>
      </c>
    </row>
    <row r="5929">
      <c r="A5929" t="inlineStr">
        <is>
          <t xml:space="preserve">someone </t>
        </is>
      </c>
      <c r="B5929">
        <f>VLOOKUP(1158,Requirements!A2:B2967,2,FALSE)</f>
        <v/>
      </c>
    </row>
    <row r="5930">
      <c r="A5930" t="inlineStr">
        <is>
          <t xml:space="preserve">someone </t>
        </is>
      </c>
      <c r="B5930">
        <f>VLOOKUP(1364,Requirements!A2:B2967,2,FALSE)</f>
        <v/>
      </c>
    </row>
    <row r="5931">
      <c r="A5931" t="inlineStr">
        <is>
          <t xml:space="preserve">someone </t>
        </is>
      </c>
      <c r="B5931">
        <f>VLOOKUP(1377,Requirements!A2:B2967,2,FALSE)</f>
        <v/>
      </c>
    </row>
    <row r="5932">
      <c r="A5932" t="inlineStr">
        <is>
          <t xml:space="preserve">someone </t>
        </is>
      </c>
      <c r="B5932">
        <f>VLOOKUP(1387,Requirements!A2:B2967,2,FALSE)</f>
        <v/>
      </c>
    </row>
    <row r="5933">
      <c r="A5933" t="inlineStr">
        <is>
          <t xml:space="preserve">someone </t>
        </is>
      </c>
      <c r="B5933">
        <f>VLOOKUP(1444,Requirements!A2:B2967,2,FALSE)</f>
        <v/>
      </c>
    </row>
    <row r="5934">
      <c r="A5934" t="inlineStr">
        <is>
          <t xml:space="preserve">someone </t>
        </is>
      </c>
      <c r="B5934">
        <f>VLOOKUP(1494,Requirements!A2:B2967,2,FALSE)</f>
        <v/>
      </c>
    </row>
    <row r="5935">
      <c r="A5935" t="inlineStr">
        <is>
          <t xml:space="preserve">someone </t>
        </is>
      </c>
      <c r="B5935">
        <f>VLOOKUP(1537,Requirements!A2:B2967,2,FALSE)</f>
        <v/>
      </c>
    </row>
    <row r="5936">
      <c r="A5936" t="inlineStr">
        <is>
          <t xml:space="preserve">someone </t>
        </is>
      </c>
      <c r="B5936">
        <f>VLOOKUP(1593,Requirements!A2:B2967,2,FALSE)</f>
        <v/>
      </c>
    </row>
    <row r="5937">
      <c r="A5937" t="inlineStr">
        <is>
          <t xml:space="preserve">someone </t>
        </is>
      </c>
      <c r="B5937">
        <f>VLOOKUP(1619,Requirements!A2:B2967,2,FALSE)</f>
        <v/>
      </c>
    </row>
    <row r="5938">
      <c r="A5938" t="inlineStr">
        <is>
          <t xml:space="preserve">someone </t>
        </is>
      </c>
      <c r="B5938">
        <f>VLOOKUP(1688,Requirements!A2:B2967,2,FALSE)</f>
        <v/>
      </c>
    </row>
    <row r="5939">
      <c r="A5939" t="inlineStr">
        <is>
          <t xml:space="preserve">someone </t>
        </is>
      </c>
      <c r="B5939">
        <f>VLOOKUP(1691,Requirements!A2:B2967,2,FALSE)</f>
        <v/>
      </c>
    </row>
    <row r="5940">
      <c r="A5940" t="inlineStr">
        <is>
          <t xml:space="preserve">someone </t>
        </is>
      </c>
      <c r="B5940">
        <f>VLOOKUP(1739,Requirements!A2:B2967,2,FALSE)</f>
        <v/>
      </c>
    </row>
    <row r="5941">
      <c r="A5941" t="inlineStr">
        <is>
          <t xml:space="preserve">someone </t>
        </is>
      </c>
      <c r="B5941">
        <f>VLOOKUP(1751,Requirements!A2:B2967,2,FALSE)</f>
        <v/>
      </c>
    </row>
    <row r="5942">
      <c r="A5942" t="inlineStr">
        <is>
          <t xml:space="preserve">someone </t>
        </is>
      </c>
      <c r="B5942">
        <f>VLOOKUP(1754,Requirements!A2:B2967,2,FALSE)</f>
        <v/>
      </c>
    </row>
    <row r="5943">
      <c r="A5943" t="inlineStr">
        <is>
          <t xml:space="preserve">someone </t>
        </is>
      </c>
      <c r="B5943">
        <f>VLOOKUP(1765,Requirements!A2:B2967,2,FALSE)</f>
        <v/>
      </c>
    </row>
    <row r="5944">
      <c r="A5944" t="inlineStr">
        <is>
          <t xml:space="preserve">someone </t>
        </is>
      </c>
      <c r="B5944">
        <f>VLOOKUP(1787,Requirements!A2:B2967,2,FALSE)</f>
        <v/>
      </c>
    </row>
    <row r="5945">
      <c r="A5945" t="inlineStr">
        <is>
          <t xml:space="preserve">someone </t>
        </is>
      </c>
      <c r="B5945">
        <f>VLOOKUP(1814,Requirements!A2:B2967,2,FALSE)</f>
        <v/>
      </c>
    </row>
    <row r="5946">
      <c r="A5946" t="inlineStr">
        <is>
          <t xml:space="preserve">someone </t>
        </is>
      </c>
      <c r="B5946">
        <f>VLOOKUP(1827,Requirements!A2:B2967,2,FALSE)</f>
        <v/>
      </c>
    </row>
    <row r="5947">
      <c r="A5947" t="inlineStr">
        <is>
          <t xml:space="preserve">someone </t>
        </is>
      </c>
      <c r="B5947">
        <f>VLOOKUP(1855,Requirements!A2:B2967,2,FALSE)</f>
        <v/>
      </c>
    </row>
    <row r="5948">
      <c r="A5948" t="inlineStr">
        <is>
          <t xml:space="preserve">someone </t>
        </is>
      </c>
      <c r="B5948">
        <f>VLOOKUP(1858,Requirements!A2:B2967,2,FALSE)</f>
        <v/>
      </c>
    </row>
    <row r="5949">
      <c r="A5949" t="inlineStr">
        <is>
          <t xml:space="preserve">someone </t>
        </is>
      </c>
      <c r="B5949">
        <f>VLOOKUP(1867,Requirements!A2:B2967,2,FALSE)</f>
        <v/>
      </c>
    </row>
    <row r="5950">
      <c r="A5950" t="inlineStr">
        <is>
          <t xml:space="preserve">someone </t>
        </is>
      </c>
      <c r="B5950">
        <f>VLOOKUP(1954,Requirements!A2:B2967,2,FALSE)</f>
        <v/>
      </c>
    </row>
    <row r="5951">
      <c r="A5951" t="inlineStr">
        <is>
          <t xml:space="preserve">someone </t>
        </is>
      </c>
      <c r="B5951">
        <f>VLOOKUP(1969,Requirements!A2:B2967,2,FALSE)</f>
        <v/>
      </c>
    </row>
    <row r="5952">
      <c r="A5952" t="inlineStr">
        <is>
          <t xml:space="preserve">someone </t>
        </is>
      </c>
      <c r="B5952">
        <f>VLOOKUP(2087,Requirements!A2:B2967,2,FALSE)</f>
        <v/>
      </c>
    </row>
    <row r="5953">
      <c r="A5953" t="inlineStr">
        <is>
          <t xml:space="preserve">someone </t>
        </is>
      </c>
      <c r="B5953">
        <f>VLOOKUP(2099,Requirements!A2:B2967,2,FALSE)</f>
        <v/>
      </c>
    </row>
    <row r="5954">
      <c r="A5954" t="inlineStr">
        <is>
          <t xml:space="preserve">someone </t>
        </is>
      </c>
      <c r="B5954">
        <f>VLOOKUP(2104,Requirements!A2:B2967,2,FALSE)</f>
        <v/>
      </c>
    </row>
    <row r="5955">
      <c r="A5955" t="inlineStr">
        <is>
          <t xml:space="preserve">someone </t>
        </is>
      </c>
      <c r="B5955">
        <f>VLOOKUP(2182,Requirements!A2:B2967,2,FALSE)</f>
        <v/>
      </c>
    </row>
    <row r="5956">
      <c r="A5956" t="inlineStr">
        <is>
          <t xml:space="preserve">someone </t>
        </is>
      </c>
      <c r="B5956">
        <f>VLOOKUP(2189,Requirements!A2:B2967,2,FALSE)</f>
        <v/>
      </c>
    </row>
    <row r="5957">
      <c r="A5957" t="inlineStr">
        <is>
          <t xml:space="preserve">someone </t>
        </is>
      </c>
      <c r="B5957">
        <f>VLOOKUP(2211,Requirements!A2:B2967,2,FALSE)</f>
        <v/>
      </c>
    </row>
    <row r="5958">
      <c r="A5958" t="inlineStr">
        <is>
          <t xml:space="preserve">someone </t>
        </is>
      </c>
      <c r="B5958">
        <f>VLOOKUP(2231,Requirements!A2:B2967,2,FALSE)</f>
        <v/>
      </c>
    </row>
    <row r="5959">
      <c r="A5959" t="inlineStr">
        <is>
          <t xml:space="preserve">someone </t>
        </is>
      </c>
      <c r="B5959">
        <f>VLOOKUP(2236,Requirements!A2:B2967,2,FALSE)</f>
        <v/>
      </c>
    </row>
    <row r="5960">
      <c r="A5960" t="inlineStr">
        <is>
          <t xml:space="preserve">someone </t>
        </is>
      </c>
      <c r="B5960">
        <f>VLOOKUP(2242,Requirements!A2:B2967,2,FALSE)</f>
        <v/>
      </c>
    </row>
    <row r="5961">
      <c r="A5961" t="inlineStr">
        <is>
          <t xml:space="preserve">someone </t>
        </is>
      </c>
      <c r="B5961">
        <f>VLOOKUP(2251,Requirements!A2:B2967,2,FALSE)</f>
        <v/>
      </c>
    </row>
    <row r="5962">
      <c r="A5962" t="inlineStr">
        <is>
          <t xml:space="preserve">someone </t>
        </is>
      </c>
      <c r="B5962">
        <f>VLOOKUP(2275,Requirements!A2:B2967,2,FALSE)</f>
        <v/>
      </c>
    </row>
    <row r="5963">
      <c r="A5963" t="inlineStr">
        <is>
          <t xml:space="preserve">someone </t>
        </is>
      </c>
      <c r="B5963">
        <f>VLOOKUP(2288,Requirements!A2:B2967,2,FALSE)</f>
        <v/>
      </c>
    </row>
    <row r="5964">
      <c r="A5964" t="inlineStr">
        <is>
          <t xml:space="preserve">someone </t>
        </is>
      </c>
      <c r="B5964">
        <f>VLOOKUP(2291,Requirements!A2:B2967,2,FALSE)</f>
        <v/>
      </c>
    </row>
    <row r="5965">
      <c r="A5965" t="inlineStr">
        <is>
          <t xml:space="preserve">someone </t>
        </is>
      </c>
      <c r="B5965">
        <f>VLOOKUP(2366,Requirements!A2:B2967,2,FALSE)</f>
        <v/>
      </c>
    </row>
    <row r="5966">
      <c r="A5966" t="inlineStr">
        <is>
          <t xml:space="preserve">someone </t>
        </is>
      </c>
      <c r="B5966">
        <f>VLOOKUP(2455,Requirements!A2:B2967,2,FALSE)</f>
        <v/>
      </c>
    </row>
    <row r="5967">
      <c r="A5967" t="inlineStr">
        <is>
          <t xml:space="preserve">someone </t>
        </is>
      </c>
      <c r="B5967">
        <f>VLOOKUP(2485,Requirements!A2:B2967,2,FALSE)</f>
        <v/>
      </c>
    </row>
    <row r="5968">
      <c r="A5968" t="inlineStr">
        <is>
          <t xml:space="preserve">someone </t>
        </is>
      </c>
      <c r="B5968">
        <f>VLOOKUP(2561,Requirements!A2:B2967,2,FALSE)</f>
        <v/>
      </c>
    </row>
    <row r="5969">
      <c r="A5969" t="inlineStr">
        <is>
          <t xml:space="preserve">someone </t>
        </is>
      </c>
      <c r="B5969">
        <f>VLOOKUP(2569,Requirements!A2:B2967,2,FALSE)</f>
        <v/>
      </c>
    </row>
    <row r="5970">
      <c r="A5970" t="inlineStr">
        <is>
          <t xml:space="preserve">someone </t>
        </is>
      </c>
      <c r="B5970">
        <f>VLOOKUP(2580,Requirements!A2:B2967,2,FALSE)</f>
        <v/>
      </c>
    </row>
    <row r="5971">
      <c r="A5971" t="inlineStr">
        <is>
          <t xml:space="preserve">someone </t>
        </is>
      </c>
      <c r="B5971">
        <f>VLOOKUP(2588,Requirements!A2:B2967,2,FALSE)</f>
        <v/>
      </c>
    </row>
    <row r="5972">
      <c r="A5972" t="inlineStr">
        <is>
          <t xml:space="preserve">someone </t>
        </is>
      </c>
      <c r="B5972">
        <f>VLOOKUP(2671,Requirements!A2:B2967,2,FALSE)</f>
        <v/>
      </c>
    </row>
    <row r="5973">
      <c r="A5973" t="inlineStr">
        <is>
          <t xml:space="preserve">someone </t>
        </is>
      </c>
      <c r="B5973">
        <f>VLOOKUP(2693,Requirements!A2:B2967,2,FALSE)</f>
        <v/>
      </c>
    </row>
    <row r="5974">
      <c r="A5974" t="inlineStr">
        <is>
          <t xml:space="preserve">someone </t>
        </is>
      </c>
      <c r="B5974">
        <f>VLOOKUP(2696,Requirements!A2:B2967,2,FALSE)</f>
        <v/>
      </c>
    </row>
    <row r="5975">
      <c r="A5975" t="inlineStr">
        <is>
          <t xml:space="preserve">someone </t>
        </is>
      </c>
      <c r="B5975">
        <f>VLOOKUP(2706,Requirements!A2:B2967,2,FALSE)</f>
        <v/>
      </c>
    </row>
    <row r="5976">
      <c r="A5976" t="inlineStr">
        <is>
          <t xml:space="preserve">someone </t>
        </is>
      </c>
      <c r="B5976">
        <f>VLOOKUP(2914,Requirements!A2:B2967,2,FALSE)</f>
        <v/>
      </c>
    </row>
    <row r="5977">
      <c r="A5977" t="inlineStr">
        <is>
          <t xml:space="preserve">someone </t>
        </is>
      </c>
      <c r="B5977">
        <f>VLOOKUP(2978,Requirements!A2:B2967,2,FALSE)</f>
        <v/>
      </c>
    </row>
    <row r="5978">
      <c r="A5978" t="inlineStr">
        <is>
          <t xml:space="preserve">someone </t>
        </is>
      </c>
      <c r="B5978">
        <f>VLOOKUP(3146,Requirements!A2:B2967,2,FALSE)</f>
        <v/>
      </c>
    </row>
    <row r="5979">
      <c r="A5979" t="inlineStr">
        <is>
          <t xml:space="preserve">someone </t>
        </is>
      </c>
      <c r="B5979">
        <f>VLOOKUP(3233,Requirements!A2:B2967,2,FALSE)</f>
        <v/>
      </c>
    </row>
    <row r="5980">
      <c r="A5980" t="inlineStr">
        <is>
          <t xml:space="preserve">someone </t>
        </is>
      </c>
      <c r="B5980">
        <f>VLOOKUP(3249,Requirements!A2:B2967,2,FALSE)</f>
        <v/>
      </c>
    </row>
    <row r="5981">
      <c r="A5981" t="inlineStr">
        <is>
          <t xml:space="preserve">family </t>
        </is>
      </c>
      <c r="B5981">
        <f>VLOOKUP(41,Requirements!A2:B2967,2,FALSE)</f>
        <v/>
      </c>
    </row>
    <row r="5982">
      <c r="A5982" t="inlineStr">
        <is>
          <t xml:space="preserve">family </t>
        </is>
      </c>
      <c r="B5982">
        <f>VLOOKUP(52,Requirements!A2:B2967,2,FALSE)</f>
        <v/>
      </c>
    </row>
    <row r="5983">
      <c r="A5983" t="inlineStr">
        <is>
          <t xml:space="preserve">family </t>
        </is>
      </c>
      <c r="B5983">
        <f>VLOOKUP(103,Requirements!A2:B2967,2,FALSE)</f>
        <v/>
      </c>
    </row>
    <row r="5984">
      <c r="A5984" t="inlineStr">
        <is>
          <t xml:space="preserve">family </t>
        </is>
      </c>
      <c r="B5984">
        <f>VLOOKUP(123,Requirements!A2:B2967,2,FALSE)</f>
        <v/>
      </c>
    </row>
    <row r="5985">
      <c r="A5985" t="inlineStr">
        <is>
          <t xml:space="preserve">family </t>
        </is>
      </c>
      <c r="B5985">
        <f>VLOOKUP(141,Requirements!A2:B2967,2,FALSE)</f>
        <v/>
      </c>
    </row>
    <row r="5986">
      <c r="A5986" t="inlineStr">
        <is>
          <t xml:space="preserve">family </t>
        </is>
      </c>
      <c r="B5986">
        <f>VLOOKUP(155,Requirements!A2:B2967,2,FALSE)</f>
        <v/>
      </c>
    </row>
    <row r="5987">
      <c r="A5987" t="inlineStr">
        <is>
          <t xml:space="preserve">family </t>
        </is>
      </c>
      <c r="B5987">
        <f>VLOOKUP(161,Requirements!A2:B2967,2,FALSE)</f>
        <v/>
      </c>
    </row>
    <row r="5988">
      <c r="A5988" t="inlineStr">
        <is>
          <t xml:space="preserve">family </t>
        </is>
      </c>
      <c r="B5988">
        <f>VLOOKUP(208,Requirements!A2:B2967,2,FALSE)</f>
        <v/>
      </c>
    </row>
    <row r="5989">
      <c r="A5989" t="inlineStr">
        <is>
          <t xml:space="preserve">family </t>
        </is>
      </c>
      <c r="B5989">
        <f>VLOOKUP(302,Requirements!A2:B2967,2,FALSE)</f>
        <v/>
      </c>
    </row>
    <row r="5990">
      <c r="A5990" t="inlineStr">
        <is>
          <t xml:space="preserve">family </t>
        </is>
      </c>
      <c r="B5990">
        <f>VLOOKUP(310,Requirements!A2:B2967,2,FALSE)</f>
        <v/>
      </c>
    </row>
    <row r="5991">
      <c r="A5991" t="inlineStr">
        <is>
          <t xml:space="preserve">family </t>
        </is>
      </c>
      <c r="B5991">
        <f>VLOOKUP(318,Requirements!A2:B2967,2,FALSE)</f>
        <v/>
      </c>
    </row>
    <row r="5992">
      <c r="A5992" t="inlineStr">
        <is>
          <t xml:space="preserve">family </t>
        </is>
      </c>
      <c r="B5992">
        <f>VLOOKUP(442,Requirements!A2:B2967,2,FALSE)</f>
        <v/>
      </c>
    </row>
    <row r="5993">
      <c r="A5993" t="inlineStr">
        <is>
          <t xml:space="preserve">family </t>
        </is>
      </c>
      <c r="B5993">
        <f>VLOOKUP(447,Requirements!A2:B2967,2,FALSE)</f>
        <v/>
      </c>
    </row>
    <row r="5994">
      <c r="A5994" t="inlineStr">
        <is>
          <t xml:space="preserve">family </t>
        </is>
      </c>
      <c r="B5994">
        <f>VLOOKUP(531,Requirements!A2:B2967,2,FALSE)</f>
        <v/>
      </c>
    </row>
    <row r="5995">
      <c r="A5995" t="inlineStr">
        <is>
          <t xml:space="preserve">family </t>
        </is>
      </c>
      <c r="B5995">
        <f>VLOOKUP(671,Requirements!A2:B2967,2,FALSE)</f>
        <v/>
      </c>
    </row>
    <row r="5996">
      <c r="A5996" t="inlineStr">
        <is>
          <t xml:space="preserve">family </t>
        </is>
      </c>
      <c r="B5996">
        <f>VLOOKUP(770,Requirements!A2:B2967,2,FALSE)</f>
        <v/>
      </c>
    </row>
    <row r="5997">
      <c r="A5997" t="inlineStr">
        <is>
          <t xml:space="preserve">family </t>
        </is>
      </c>
      <c r="B5997">
        <f>VLOOKUP(789,Requirements!A2:B2967,2,FALSE)</f>
        <v/>
      </c>
    </row>
    <row r="5998">
      <c r="A5998" t="inlineStr">
        <is>
          <t xml:space="preserve">family </t>
        </is>
      </c>
      <c r="B5998">
        <f>VLOOKUP(795,Requirements!A2:B2967,2,FALSE)</f>
        <v/>
      </c>
    </row>
    <row r="5999">
      <c r="A5999" t="inlineStr">
        <is>
          <t xml:space="preserve">family </t>
        </is>
      </c>
      <c r="B5999">
        <f>VLOOKUP(796,Requirements!A2:B2967,2,FALSE)</f>
        <v/>
      </c>
    </row>
    <row r="6000">
      <c r="A6000" t="inlineStr">
        <is>
          <t xml:space="preserve">family </t>
        </is>
      </c>
      <c r="B6000">
        <f>VLOOKUP(801,Requirements!A2:B2967,2,FALSE)</f>
        <v/>
      </c>
    </row>
    <row r="6001">
      <c r="A6001" t="inlineStr">
        <is>
          <t xml:space="preserve">family </t>
        </is>
      </c>
      <c r="B6001">
        <f>VLOOKUP(847,Requirements!A2:B2967,2,FALSE)</f>
        <v/>
      </c>
    </row>
    <row r="6002">
      <c r="A6002" t="inlineStr">
        <is>
          <t xml:space="preserve">family </t>
        </is>
      </c>
      <c r="B6002">
        <f>VLOOKUP(884,Requirements!A2:B2967,2,FALSE)</f>
        <v/>
      </c>
    </row>
    <row r="6003">
      <c r="A6003" t="inlineStr">
        <is>
          <t xml:space="preserve">family </t>
        </is>
      </c>
      <c r="B6003">
        <f>VLOOKUP(1055,Requirements!A2:B2967,2,FALSE)</f>
        <v/>
      </c>
    </row>
    <row r="6004">
      <c r="A6004" t="inlineStr">
        <is>
          <t xml:space="preserve">family </t>
        </is>
      </c>
      <c r="B6004">
        <f>VLOOKUP(1097,Requirements!A2:B2967,2,FALSE)</f>
        <v/>
      </c>
    </row>
    <row r="6005">
      <c r="A6005" t="inlineStr">
        <is>
          <t xml:space="preserve">family </t>
        </is>
      </c>
      <c r="B6005">
        <f>VLOOKUP(1101,Requirements!A2:B2967,2,FALSE)</f>
        <v/>
      </c>
    </row>
    <row r="6006">
      <c r="A6006" t="inlineStr">
        <is>
          <t xml:space="preserve">family </t>
        </is>
      </c>
      <c r="B6006">
        <f>VLOOKUP(1112,Requirements!A2:B2967,2,FALSE)</f>
        <v/>
      </c>
    </row>
    <row r="6007">
      <c r="A6007" t="inlineStr">
        <is>
          <t xml:space="preserve">family </t>
        </is>
      </c>
      <c r="B6007">
        <f>VLOOKUP(1160,Requirements!A2:B2967,2,FALSE)</f>
        <v/>
      </c>
    </row>
    <row r="6008">
      <c r="A6008" t="inlineStr">
        <is>
          <t xml:space="preserve">family </t>
        </is>
      </c>
      <c r="B6008">
        <f>VLOOKUP(1165,Requirements!A2:B2967,2,FALSE)</f>
        <v/>
      </c>
    </row>
    <row r="6009">
      <c r="A6009" t="inlineStr">
        <is>
          <t xml:space="preserve">family </t>
        </is>
      </c>
      <c r="B6009">
        <f>VLOOKUP(1176,Requirements!A2:B2967,2,FALSE)</f>
        <v/>
      </c>
    </row>
    <row r="6010">
      <c r="A6010" t="inlineStr">
        <is>
          <t xml:space="preserve">family </t>
        </is>
      </c>
      <c r="B6010">
        <f>VLOOKUP(1195,Requirements!A2:B2967,2,FALSE)</f>
        <v/>
      </c>
    </row>
    <row r="6011">
      <c r="A6011" t="inlineStr">
        <is>
          <t xml:space="preserve">family </t>
        </is>
      </c>
      <c r="B6011">
        <f>VLOOKUP(1207,Requirements!A2:B2967,2,FALSE)</f>
        <v/>
      </c>
    </row>
    <row r="6012">
      <c r="A6012" t="inlineStr">
        <is>
          <t xml:space="preserve">family </t>
        </is>
      </c>
      <c r="B6012">
        <f>VLOOKUP(1227,Requirements!A2:B2967,2,FALSE)</f>
        <v/>
      </c>
    </row>
    <row r="6013">
      <c r="A6013" t="inlineStr">
        <is>
          <t xml:space="preserve">family </t>
        </is>
      </c>
      <c r="B6013">
        <f>VLOOKUP(1637,Requirements!A2:B2967,2,FALSE)</f>
        <v/>
      </c>
    </row>
    <row r="6014">
      <c r="A6014" t="inlineStr">
        <is>
          <t xml:space="preserve">family </t>
        </is>
      </c>
      <c r="B6014">
        <f>VLOOKUP(1639,Requirements!A2:B2967,2,FALSE)</f>
        <v/>
      </c>
    </row>
    <row r="6015">
      <c r="A6015" t="inlineStr">
        <is>
          <t xml:space="preserve">family </t>
        </is>
      </c>
      <c r="B6015">
        <f>VLOOKUP(1650,Requirements!A2:B2967,2,FALSE)</f>
        <v/>
      </c>
    </row>
    <row r="6016">
      <c r="A6016" t="inlineStr">
        <is>
          <t xml:space="preserve">family </t>
        </is>
      </c>
      <c r="B6016">
        <f>VLOOKUP(1693,Requirements!A2:B2967,2,FALSE)</f>
        <v/>
      </c>
    </row>
    <row r="6017">
      <c r="A6017" t="inlineStr">
        <is>
          <t xml:space="preserve">family </t>
        </is>
      </c>
      <c r="B6017">
        <f>VLOOKUP(1702,Requirements!A2:B2967,2,FALSE)</f>
        <v/>
      </c>
    </row>
    <row r="6018">
      <c r="A6018" t="inlineStr">
        <is>
          <t xml:space="preserve">family </t>
        </is>
      </c>
      <c r="B6018">
        <f>VLOOKUP(1948,Requirements!A2:B2967,2,FALSE)</f>
        <v/>
      </c>
    </row>
    <row r="6019">
      <c r="A6019" t="inlineStr">
        <is>
          <t xml:space="preserve">family </t>
        </is>
      </c>
      <c r="B6019">
        <f>VLOOKUP(2110,Requirements!A2:B2967,2,FALSE)</f>
        <v/>
      </c>
    </row>
    <row r="6020">
      <c r="A6020" t="inlineStr">
        <is>
          <t xml:space="preserve">family </t>
        </is>
      </c>
      <c r="B6020">
        <f>VLOOKUP(2330,Requirements!A2:B2967,2,FALSE)</f>
        <v/>
      </c>
    </row>
    <row r="6021">
      <c r="A6021" t="inlineStr">
        <is>
          <t xml:space="preserve">family </t>
        </is>
      </c>
      <c r="B6021">
        <f>VLOOKUP(2341,Requirements!A2:B2967,2,FALSE)</f>
        <v/>
      </c>
    </row>
    <row r="6022">
      <c r="A6022" t="inlineStr">
        <is>
          <t xml:space="preserve">family </t>
        </is>
      </c>
      <c r="B6022">
        <f>VLOOKUP(2395,Requirements!A2:B2967,2,FALSE)</f>
        <v/>
      </c>
    </row>
    <row r="6023">
      <c r="A6023" t="inlineStr">
        <is>
          <t xml:space="preserve">family </t>
        </is>
      </c>
      <c r="B6023">
        <f>VLOOKUP(2401,Requirements!A2:B2967,2,FALSE)</f>
        <v/>
      </c>
    </row>
    <row r="6024">
      <c r="A6024" t="inlineStr">
        <is>
          <t xml:space="preserve">family </t>
        </is>
      </c>
      <c r="B6024">
        <f>VLOOKUP(2532,Requirements!A2:B2967,2,FALSE)</f>
        <v/>
      </c>
    </row>
    <row r="6025">
      <c r="A6025" t="inlineStr">
        <is>
          <t xml:space="preserve">family </t>
        </is>
      </c>
      <c r="B6025">
        <f>VLOOKUP(2581,Requirements!A2:B2967,2,FALSE)</f>
        <v/>
      </c>
    </row>
    <row r="6026">
      <c r="A6026" t="inlineStr">
        <is>
          <t xml:space="preserve">family </t>
        </is>
      </c>
      <c r="B6026">
        <f>VLOOKUP(2650,Requirements!A2:B2967,2,FALSE)</f>
        <v/>
      </c>
    </row>
    <row r="6027">
      <c r="A6027" t="inlineStr">
        <is>
          <t xml:space="preserve">family </t>
        </is>
      </c>
      <c r="B6027">
        <f>VLOOKUP(2661,Requirements!A2:B2967,2,FALSE)</f>
        <v/>
      </c>
    </row>
    <row r="6028">
      <c r="A6028" t="inlineStr">
        <is>
          <t xml:space="preserve">family </t>
        </is>
      </c>
      <c r="B6028">
        <f>VLOOKUP(2666,Requirements!A2:B2967,2,FALSE)</f>
        <v/>
      </c>
    </row>
    <row r="6029">
      <c r="A6029" t="inlineStr">
        <is>
          <t xml:space="preserve">family </t>
        </is>
      </c>
      <c r="B6029">
        <f>VLOOKUP(2671,Requirements!A2:B2967,2,FALSE)</f>
        <v/>
      </c>
    </row>
    <row r="6030">
      <c r="A6030" t="inlineStr">
        <is>
          <t xml:space="preserve">family </t>
        </is>
      </c>
      <c r="B6030">
        <f>VLOOKUP(2672,Requirements!A2:B2967,2,FALSE)</f>
        <v/>
      </c>
    </row>
    <row r="6031">
      <c r="A6031" t="inlineStr">
        <is>
          <t xml:space="preserve">family </t>
        </is>
      </c>
      <c r="B6031">
        <f>VLOOKUP(2679,Requirements!A2:B2967,2,FALSE)</f>
        <v/>
      </c>
    </row>
    <row r="6032">
      <c r="A6032" t="inlineStr">
        <is>
          <t xml:space="preserve">family </t>
        </is>
      </c>
      <c r="B6032">
        <f>VLOOKUP(2885,Requirements!A2:B2967,2,FALSE)</f>
        <v/>
      </c>
    </row>
    <row r="6033">
      <c r="A6033" t="inlineStr">
        <is>
          <t xml:space="preserve">family </t>
        </is>
      </c>
      <c r="B6033">
        <f>VLOOKUP(2935,Requirements!A2:B2967,2,FALSE)</f>
        <v/>
      </c>
    </row>
    <row r="6034">
      <c r="A6034" t="inlineStr">
        <is>
          <t xml:space="preserve">best </t>
        </is>
      </c>
      <c r="B6034">
        <f>VLOOKUP(43,Requirements!A2:B2967,2,FALSE)</f>
        <v/>
      </c>
    </row>
    <row r="6035">
      <c r="A6035" t="inlineStr">
        <is>
          <t xml:space="preserve">best </t>
        </is>
      </c>
      <c r="B6035">
        <f>VLOOKUP(1098,Requirements!A2:B2967,2,FALSE)</f>
        <v/>
      </c>
    </row>
    <row r="6036">
      <c r="A6036" t="inlineStr">
        <is>
          <t xml:space="preserve">best </t>
        </is>
      </c>
      <c r="B6036">
        <f>VLOOKUP(1644,Requirements!A2:B2967,2,FALSE)</f>
        <v/>
      </c>
    </row>
    <row r="6037">
      <c r="A6037" t="inlineStr">
        <is>
          <t xml:space="preserve">best </t>
        </is>
      </c>
      <c r="B6037">
        <f>VLOOKUP(2333,Requirements!A2:B2967,2,FALSE)</f>
        <v/>
      </c>
    </row>
    <row r="6038">
      <c r="A6038" t="inlineStr">
        <is>
          <t xml:space="preserve">best </t>
        </is>
      </c>
      <c r="B6038">
        <f>VLOOKUP(2895,Requirements!A2:B2967,2,FALSE)</f>
        <v/>
      </c>
    </row>
    <row r="6039">
      <c r="A6039" t="inlineStr">
        <is>
          <t xml:space="preserve">best </t>
        </is>
      </c>
      <c r="B6039">
        <f>VLOOKUP(3158,Requirements!A2:B2967,2,FALSE)</f>
        <v/>
      </c>
    </row>
    <row r="6040">
      <c r="A6040" t="inlineStr">
        <is>
          <t xml:space="preserve">best </t>
        </is>
      </c>
      <c r="B6040">
        <f>VLOOKUP(3266,Requirements!A2:B2967,2,FALSE)</f>
        <v/>
      </c>
    </row>
    <row r="6041">
      <c r="A6041" t="inlineStr">
        <is>
          <t xml:space="preserve">space </t>
        </is>
      </c>
      <c r="B6041">
        <f>VLOOKUP(43,Requirements!A2:B2967,2,FALSE)</f>
        <v/>
      </c>
    </row>
    <row r="6042">
      <c r="A6042" t="inlineStr">
        <is>
          <t xml:space="preserve">space </t>
        </is>
      </c>
      <c r="B6042">
        <f>VLOOKUP(453,Requirements!A2:B2967,2,FALSE)</f>
        <v/>
      </c>
    </row>
    <row r="6043">
      <c r="A6043" t="inlineStr">
        <is>
          <t xml:space="preserve">space </t>
        </is>
      </c>
      <c r="B6043">
        <f>VLOOKUP(1877,Requirements!A2:B2967,2,FALSE)</f>
        <v/>
      </c>
    </row>
    <row r="6044">
      <c r="A6044" t="inlineStr">
        <is>
          <t xml:space="preserve">space </t>
        </is>
      </c>
      <c r="B6044">
        <f>VLOOKUP(2697,Requirements!A2:B2967,2,FALSE)</f>
        <v/>
      </c>
    </row>
    <row r="6045">
      <c r="A6045" t="inlineStr">
        <is>
          <t xml:space="preserve">space </t>
        </is>
      </c>
      <c r="B6045">
        <f>VLOOKUP(3112,Requirements!A2:B2967,2,FALSE)</f>
        <v/>
      </c>
    </row>
    <row r="6046">
      <c r="A6046" t="inlineStr">
        <is>
          <t xml:space="preserve">cold </t>
        </is>
      </c>
      <c r="B6046">
        <f>VLOOKUP(43,Requirements!A2:B2967,2,FALSE)</f>
        <v/>
      </c>
    </row>
    <row r="6047">
      <c r="A6047" t="inlineStr">
        <is>
          <t xml:space="preserve">cold </t>
        </is>
      </c>
      <c r="B6047">
        <f>VLOOKUP(269,Requirements!A2:B2967,2,FALSE)</f>
        <v/>
      </c>
    </row>
    <row r="6048">
      <c r="A6048" t="inlineStr">
        <is>
          <t xml:space="preserve">cold </t>
        </is>
      </c>
      <c r="B6048">
        <f>VLOOKUP(543,Requirements!A2:B2967,2,FALSE)</f>
        <v/>
      </c>
    </row>
    <row r="6049">
      <c r="A6049" t="inlineStr">
        <is>
          <t xml:space="preserve">cold </t>
        </is>
      </c>
      <c r="B6049">
        <f>VLOOKUP(552,Requirements!A2:B2967,2,FALSE)</f>
        <v/>
      </c>
    </row>
    <row r="6050">
      <c r="A6050" t="inlineStr">
        <is>
          <t xml:space="preserve">cold </t>
        </is>
      </c>
      <c r="B6050">
        <f>VLOOKUP(698,Requirements!A2:B2967,2,FALSE)</f>
        <v/>
      </c>
    </row>
    <row r="6051">
      <c r="A6051" t="inlineStr">
        <is>
          <t xml:space="preserve">cold </t>
        </is>
      </c>
      <c r="B6051">
        <f>VLOOKUP(727,Requirements!A2:B2967,2,FALSE)</f>
        <v/>
      </c>
    </row>
    <row r="6052">
      <c r="A6052" t="inlineStr">
        <is>
          <t xml:space="preserve">cold </t>
        </is>
      </c>
      <c r="B6052">
        <f>VLOOKUP(886,Requirements!A2:B2967,2,FALSE)</f>
        <v/>
      </c>
    </row>
    <row r="6053">
      <c r="A6053" t="inlineStr">
        <is>
          <t xml:space="preserve">cold </t>
        </is>
      </c>
      <c r="B6053">
        <f>VLOOKUP(1337,Requirements!A2:B2967,2,FALSE)</f>
        <v/>
      </c>
    </row>
    <row r="6054">
      <c r="A6054" t="inlineStr">
        <is>
          <t xml:space="preserve">cold </t>
        </is>
      </c>
      <c r="B6054">
        <f>VLOOKUP(1457,Requirements!A2:B2967,2,FALSE)</f>
        <v/>
      </c>
    </row>
    <row r="6055">
      <c r="A6055" t="inlineStr">
        <is>
          <t xml:space="preserve">cold </t>
        </is>
      </c>
      <c r="B6055">
        <f>VLOOKUP(1536,Requirements!A2:B2967,2,FALSE)</f>
        <v/>
      </c>
    </row>
    <row r="6056">
      <c r="A6056" t="inlineStr">
        <is>
          <t xml:space="preserve">cold </t>
        </is>
      </c>
      <c r="B6056">
        <f>VLOOKUP(1607,Requirements!A2:B2967,2,FALSE)</f>
        <v/>
      </c>
    </row>
    <row r="6057">
      <c r="A6057" t="inlineStr">
        <is>
          <t xml:space="preserve">cold </t>
        </is>
      </c>
      <c r="B6057">
        <f>VLOOKUP(1630,Requirements!A2:B2967,2,FALSE)</f>
        <v/>
      </c>
    </row>
    <row r="6058">
      <c r="A6058" t="inlineStr">
        <is>
          <t xml:space="preserve">cold </t>
        </is>
      </c>
      <c r="B6058">
        <f>VLOOKUP(2043,Requirements!A2:B2967,2,FALSE)</f>
        <v/>
      </c>
    </row>
    <row r="6059">
      <c r="A6059" t="inlineStr">
        <is>
          <t xml:space="preserve">cold </t>
        </is>
      </c>
      <c r="B6059">
        <f>VLOOKUP(2209,Requirements!A2:B2967,2,FALSE)</f>
        <v/>
      </c>
    </row>
    <row r="6060">
      <c r="A6060" t="inlineStr">
        <is>
          <t xml:space="preserve">cold </t>
        </is>
      </c>
      <c r="B6060">
        <f>VLOOKUP(2225,Requirements!A2:B2967,2,FALSE)</f>
        <v/>
      </c>
    </row>
    <row r="6061">
      <c r="A6061" t="inlineStr">
        <is>
          <t xml:space="preserve">cold </t>
        </is>
      </c>
      <c r="B6061">
        <f>VLOOKUP(2245,Requirements!A2:B2967,2,FALSE)</f>
        <v/>
      </c>
    </row>
    <row r="6062">
      <c r="A6062" t="inlineStr">
        <is>
          <t xml:space="preserve">cold </t>
        </is>
      </c>
      <c r="B6062">
        <f>VLOOKUP(2344,Requirements!A2:B2967,2,FALSE)</f>
        <v/>
      </c>
    </row>
    <row r="6063">
      <c r="A6063" t="inlineStr">
        <is>
          <t xml:space="preserve">cold </t>
        </is>
      </c>
      <c r="B6063">
        <f>VLOOKUP(2379,Requirements!A2:B2967,2,FALSE)</f>
        <v/>
      </c>
    </row>
    <row r="6064">
      <c r="A6064" t="inlineStr">
        <is>
          <t xml:space="preserve">cold </t>
        </is>
      </c>
      <c r="B6064">
        <f>VLOOKUP(2385,Requirements!A2:B2967,2,FALSE)</f>
        <v/>
      </c>
    </row>
    <row r="6065">
      <c r="A6065" t="inlineStr">
        <is>
          <t xml:space="preserve">cold </t>
        </is>
      </c>
      <c r="B6065">
        <f>VLOOKUP(2398,Requirements!A2:B2967,2,FALSE)</f>
        <v/>
      </c>
    </row>
    <row r="6066">
      <c r="A6066" t="inlineStr">
        <is>
          <t xml:space="preserve">cold </t>
        </is>
      </c>
      <c r="B6066">
        <f>VLOOKUP(2469,Requirements!A2:B2967,2,FALSE)</f>
        <v/>
      </c>
    </row>
    <row r="6067">
      <c r="A6067" t="inlineStr">
        <is>
          <t xml:space="preserve">cold </t>
        </is>
      </c>
      <c r="B6067">
        <f>VLOOKUP(2635,Requirements!A2:B2967,2,FALSE)</f>
        <v/>
      </c>
    </row>
    <row r="6068">
      <c r="A6068" t="inlineStr">
        <is>
          <t xml:space="preserve">cold </t>
        </is>
      </c>
      <c r="B6068">
        <f>VLOOKUP(2682,Requirements!A2:B2967,2,FALSE)</f>
        <v/>
      </c>
    </row>
    <row r="6069">
      <c r="A6069" t="inlineStr">
        <is>
          <t xml:space="preserve">cold </t>
        </is>
      </c>
      <c r="B6069">
        <f>VLOOKUP(2742,Requirements!A2:B2967,2,FALSE)</f>
        <v/>
      </c>
    </row>
    <row r="6070">
      <c r="A6070" t="inlineStr">
        <is>
          <t xml:space="preserve">cold </t>
        </is>
      </c>
      <c r="B6070">
        <f>VLOOKUP(3032,Requirements!A2:B2967,2,FALSE)</f>
        <v/>
      </c>
    </row>
    <row r="6071">
      <c r="A6071" t="inlineStr">
        <is>
          <t xml:space="preserve">cold </t>
        </is>
      </c>
      <c r="B6071">
        <f>VLOOKUP(3177,Requirements!A2:B2967,2,FALSE)</f>
        <v/>
      </c>
    </row>
    <row r="6072">
      <c r="A6072" t="inlineStr">
        <is>
          <t xml:space="preserve">cold </t>
        </is>
      </c>
      <c r="B6072">
        <f>VLOOKUP(3197,Requirements!A2:B2967,2,FALSE)</f>
        <v/>
      </c>
    </row>
    <row r="6073">
      <c r="A6073" t="inlineStr">
        <is>
          <t xml:space="preserve">cold </t>
        </is>
      </c>
      <c r="B6073">
        <f>VLOOKUP(3219,Requirements!A2:B2967,2,FALSE)</f>
        <v/>
      </c>
    </row>
    <row r="6074">
      <c r="A6074" t="inlineStr">
        <is>
          <t xml:space="preserve">motion </t>
        </is>
      </c>
      <c r="B6074">
        <f>VLOOKUP(44,Requirements!A2:B2967,2,FALSE)</f>
        <v/>
      </c>
    </row>
    <row r="6075">
      <c r="A6075" t="inlineStr">
        <is>
          <t xml:space="preserve">motion </t>
        </is>
      </c>
      <c r="B6075">
        <f>VLOOKUP(83,Requirements!A2:B2967,2,FALSE)</f>
        <v/>
      </c>
    </row>
    <row r="6076">
      <c r="A6076" t="inlineStr">
        <is>
          <t xml:space="preserve">motion </t>
        </is>
      </c>
      <c r="B6076">
        <f>VLOOKUP(134,Requirements!A2:B2967,2,FALSE)</f>
        <v/>
      </c>
    </row>
    <row r="6077">
      <c r="A6077" t="inlineStr">
        <is>
          <t xml:space="preserve">motion </t>
        </is>
      </c>
      <c r="B6077">
        <f>VLOOKUP(223,Requirements!A2:B2967,2,FALSE)</f>
        <v/>
      </c>
    </row>
    <row r="6078">
      <c r="A6078" t="inlineStr">
        <is>
          <t xml:space="preserve">motion </t>
        </is>
      </c>
      <c r="B6078">
        <f>VLOOKUP(230,Requirements!A2:B2967,2,FALSE)</f>
        <v/>
      </c>
    </row>
    <row r="6079">
      <c r="A6079" t="inlineStr">
        <is>
          <t xml:space="preserve">motion </t>
        </is>
      </c>
      <c r="B6079">
        <f>VLOOKUP(324,Requirements!A2:B2967,2,FALSE)</f>
        <v/>
      </c>
    </row>
    <row r="6080">
      <c r="A6080" t="inlineStr">
        <is>
          <t xml:space="preserve">motion </t>
        </is>
      </c>
      <c r="B6080">
        <f>VLOOKUP(336,Requirements!A2:B2967,2,FALSE)</f>
        <v/>
      </c>
    </row>
    <row r="6081">
      <c r="A6081" t="inlineStr">
        <is>
          <t xml:space="preserve">motion </t>
        </is>
      </c>
      <c r="B6081">
        <f>VLOOKUP(378,Requirements!A2:B2967,2,FALSE)</f>
        <v/>
      </c>
    </row>
    <row r="6082">
      <c r="A6082" t="inlineStr">
        <is>
          <t xml:space="preserve">motion </t>
        </is>
      </c>
      <c r="B6082">
        <f>VLOOKUP(499,Requirements!A2:B2967,2,FALSE)</f>
        <v/>
      </c>
    </row>
    <row r="6083">
      <c r="A6083" t="inlineStr">
        <is>
          <t xml:space="preserve">motion </t>
        </is>
      </c>
      <c r="B6083">
        <f>VLOOKUP(562,Requirements!A2:B2967,2,FALSE)</f>
        <v/>
      </c>
    </row>
    <row r="6084">
      <c r="A6084" t="inlineStr">
        <is>
          <t xml:space="preserve">motion </t>
        </is>
      </c>
      <c r="B6084">
        <f>VLOOKUP(702,Requirements!A2:B2967,2,FALSE)</f>
        <v/>
      </c>
    </row>
    <row r="6085">
      <c r="A6085" t="inlineStr">
        <is>
          <t xml:space="preserve">motion </t>
        </is>
      </c>
      <c r="B6085">
        <f>VLOOKUP(897,Requirements!A2:B2967,2,FALSE)</f>
        <v/>
      </c>
    </row>
    <row r="6086">
      <c r="A6086" t="inlineStr">
        <is>
          <t xml:space="preserve">motion </t>
        </is>
      </c>
      <c r="B6086">
        <f>VLOOKUP(1004,Requirements!A2:B2967,2,FALSE)</f>
        <v/>
      </c>
    </row>
    <row r="6087">
      <c r="A6087" t="inlineStr">
        <is>
          <t xml:space="preserve">motion </t>
        </is>
      </c>
      <c r="B6087">
        <f>VLOOKUP(1057,Requirements!A2:B2967,2,FALSE)</f>
        <v/>
      </c>
    </row>
    <row r="6088">
      <c r="A6088" t="inlineStr">
        <is>
          <t xml:space="preserve">motion </t>
        </is>
      </c>
      <c r="B6088">
        <f>VLOOKUP(1083,Requirements!A2:B2967,2,FALSE)</f>
        <v/>
      </c>
    </row>
    <row r="6089">
      <c r="A6089" t="inlineStr">
        <is>
          <t xml:space="preserve">motion </t>
        </is>
      </c>
      <c r="B6089">
        <f>VLOOKUP(1327,Requirements!A2:B2967,2,FALSE)</f>
        <v/>
      </c>
    </row>
    <row r="6090">
      <c r="A6090" t="inlineStr">
        <is>
          <t xml:space="preserve">motion </t>
        </is>
      </c>
      <c r="B6090">
        <f>VLOOKUP(1470,Requirements!A2:B2967,2,FALSE)</f>
        <v/>
      </c>
    </row>
    <row r="6091">
      <c r="A6091" t="inlineStr">
        <is>
          <t xml:space="preserve">motion </t>
        </is>
      </c>
      <c r="B6091">
        <f>VLOOKUP(1562,Requirements!A2:B2967,2,FALSE)</f>
        <v/>
      </c>
    </row>
    <row r="6092">
      <c r="A6092" t="inlineStr">
        <is>
          <t xml:space="preserve">motion </t>
        </is>
      </c>
      <c r="B6092">
        <f>VLOOKUP(1875,Requirements!A2:B2967,2,FALSE)</f>
        <v/>
      </c>
    </row>
    <row r="6093">
      <c r="A6093" t="inlineStr">
        <is>
          <t xml:space="preserve">motion </t>
        </is>
      </c>
      <c r="B6093">
        <f>VLOOKUP(1881,Requirements!A2:B2967,2,FALSE)</f>
        <v/>
      </c>
    </row>
    <row r="6094">
      <c r="A6094" t="inlineStr">
        <is>
          <t xml:space="preserve">motion </t>
        </is>
      </c>
      <c r="B6094">
        <f>VLOOKUP(2093,Requirements!A2:B2967,2,FALSE)</f>
        <v/>
      </c>
    </row>
    <row r="6095">
      <c r="A6095" t="inlineStr">
        <is>
          <t xml:space="preserve">motion </t>
        </is>
      </c>
      <c r="B6095">
        <f>VLOOKUP(2275,Requirements!A2:B2967,2,FALSE)</f>
        <v/>
      </c>
    </row>
    <row r="6096">
      <c r="A6096" t="inlineStr">
        <is>
          <t xml:space="preserve">motion </t>
        </is>
      </c>
      <c r="B6096">
        <f>VLOOKUP(2362,Requirements!A2:B2967,2,FALSE)</f>
        <v/>
      </c>
    </row>
    <row r="6097">
      <c r="A6097" t="inlineStr">
        <is>
          <t xml:space="preserve">motion </t>
        </is>
      </c>
      <c r="B6097">
        <f>VLOOKUP(2391,Requirements!A2:B2967,2,FALSE)</f>
        <v/>
      </c>
    </row>
    <row r="6098">
      <c r="A6098" t="inlineStr">
        <is>
          <t xml:space="preserve">motion </t>
        </is>
      </c>
      <c r="B6098">
        <f>VLOOKUP(2692,Requirements!A2:B2967,2,FALSE)</f>
        <v/>
      </c>
    </row>
    <row r="6099">
      <c r="A6099" t="inlineStr">
        <is>
          <t xml:space="preserve">motion </t>
        </is>
      </c>
      <c r="B6099">
        <f>VLOOKUP(2708,Requirements!A2:B2967,2,FALSE)</f>
        <v/>
      </c>
    </row>
    <row r="6100">
      <c r="A6100" t="inlineStr">
        <is>
          <t xml:space="preserve">motion </t>
        </is>
      </c>
      <c r="B6100">
        <f>VLOOKUP(2978,Requirements!A2:B2967,2,FALSE)</f>
        <v/>
      </c>
    </row>
    <row r="6101">
      <c r="A6101" t="inlineStr">
        <is>
          <t xml:space="preserve">motion </t>
        </is>
      </c>
      <c r="B6101">
        <f>VLOOKUP(3033,Requirements!A2:B2967,2,FALSE)</f>
        <v/>
      </c>
    </row>
    <row r="6102">
      <c r="A6102" t="inlineStr">
        <is>
          <t xml:space="preserve">motion </t>
        </is>
      </c>
      <c r="B6102">
        <f>VLOOKUP(3034,Requirements!A2:B2967,2,FALSE)</f>
        <v/>
      </c>
    </row>
    <row r="6103">
      <c r="A6103" t="inlineStr">
        <is>
          <t xml:space="preserve">motion </t>
        </is>
      </c>
      <c r="B6103">
        <f>VLOOKUP(3062,Requirements!A2:B2967,2,FALSE)</f>
        <v/>
      </c>
    </row>
    <row r="6104">
      <c r="A6104" t="inlineStr">
        <is>
          <t xml:space="preserve">motion </t>
        </is>
      </c>
      <c r="B6104">
        <f>VLOOKUP(3086,Requirements!A2:B2967,2,FALSE)</f>
        <v/>
      </c>
    </row>
    <row r="6105">
      <c r="A6105" t="inlineStr">
        <is>
          <t xml:space="preserve">motion </t>
        </is>
      </c>
      <c r="B6105">
        <f>VLOOKUP(3121,Requirements!A2:B2967,2,FALSE)</f>
        <v/>
      </c>
    </row>
    <row r="6106">
      <c r="A6106" t="inlineStr">
        <is>
          <t xml:space="preserve">motion </t>
        </is>
      </c>
      <c r="B6106">
        <f>VLOOKUP(3124,Requirements!A2:B2967,2,FALSE)</f>
        <v/>
      </c>
    </row>
    <row r="6107">
      <c r="A6107" t="inlineStr">
        <is>
          <t xml:space="preserve">safety </t>
        </is>
      </c>
      <c r="B6107">
        <f>VLOOKUP(44,Requirements!A2:B2967,2,FALSE)</f>
        <v/>
      </c>
    </row>
    <row r="6108">
      <c r="A6108" t="inlineStr">
        <is>
          <t xml:space="preserve">safety </t>
        </is>
      </c>
      <c r="B6108">
        <f>VLOOKUP(155,Requirements!A2:B2967,2,FALSE)</f>
        <v/>
      </c>
    </row>
    <row r="6109">
      <c r="A6109" t="inlineStr">
        <is>
          <t xml:space="preserve">safety </t>
        </is>
      </c>
      <c r="B6109">
        <f>VLOOKUP(287,Requirements!A2:B2967,2,FALSE)</f>
        <v/>
      </c>
    </row>
    <row r="6110">
      <c r="A6110" t="inlineStr">
        <is>
          <t xml:space="preserve">safety </t>
        </is>
      </c>
      <c r="B6110">
        <f>VLOOKUP(551,Requirements!A2:B2967,2,FALSE)</f>
        <v/>
      </c>
    </row>
    <row r="6111">
      <c r="A6111" t="inlineStr">
        <is>
          <t xml:space="preserve">safety </t>
        </is>
      </c>
      <c r="B6111">
        <f>VLOOKUP(584,Requirements!A2:B2967,2,FALSE)</f>
        <v/>
      </c>
    </row>
    <row r="6112">
      <c r="A6112" t="inlineStr">
        <is>
          <t xml:space="preserve">safety </t>
        </is>
      </c>
      <c r="B6112">
        <f>VLOOKUP(1004,Requirements!A2:B2967,2,FALSE)</f>
        <v/>
      </c>
    </row>
    <row r="6113">
      <c r="A6113" t="inlineStr">
        <is>
          <t xml:space="preserve">safety </t>
        </is>
      </c>
      <c r="B6113">
        <f>VLOOKUP(1013,Requirements!A2:B2967,2,FALSE)</f>
        <v/>
      </c>
    </row>
    <row r="6114">
      <c r="A6114" t="inlineStr">
        <is>
          <t xml:space="preserve">safety </t>
        </is>
      </c>
      <c r="B6114">
        <f>VLOOKUP(1119,Requirements!A2:B2967,2,FALSE)</f>
        <v/>
      </c>
    </row>
    <row r="6115">
      <c r="A6115" t="inlineStr">
        <is>
          <t xml:space="preserve">safety </t>
        </is>
      </c>
      <c r="B6115">
        <f>VLOOKUP(1126,Requirements!A2:B2967,2,FALSE)</f>
        <v/>
      </c>
    </row>
    <row r="6116">
      <c r="A6116" t="inlineStr">
        <is>
          <t xml:space="preserve">safety </t>
        </is>
      </c>
      <c r="B6116">
        <f>VLOOKUP(1217,Requirements!A2:B2967,2,FALSE)</f>
        <v/>
      </c>
    </row>
    <row r="6117">
      <c r="A6117" t="inlineStr">
        <is>
          <t xml:space="preserve">safety </t>
        </is>
      </c>
      <c r="B6117">
        <f>VLOOKUP(1327,Requirements!A2:B2967,2,FALSE)</f>
        <v/>
      </c>
    </row>
    <row r="6118">
      <c r="A6118" t="inlineStr">
        <is>
          <t xml:space="preserve">safety </t>
        </is>
      </c>
      <c r="B6118">
        <f>VLOOKUP(1361,Requirements!A2:B2967,2,FALSE)</f>
        <v/>
      </c>
    </row>
    <row r="6119">
      <c r="A6119" t="inlineStr">
        <is>
          <t xml:space="preserve">safety </t>
        </is>
      </c>
      <c r="B6119">
        <f>VLOOKUP(1365,Requirements!A2:B2967,2,FALSE)</f>
        <v/>
      </c>
    </row>
    <row r="6120">
      <c r="A6120" t="inlineStr">
        <is>
          <t xml:space="preserve">safety </t>
        </is>
      </c>
      <c r="B6120">
        <f>VLOOKUP(1650,Requirements!A2:B2967,2,FALSE)</f>
        <v/>
      </c>
    </row>
    <row r="6121">
      <c r="A6121" t="inlineStr">
        <is>
          <t xml:space="preserve">safety </t>
        </is>
      </c>
      <c r="B6121">
        <f>VLOOKUP(1701,Requirements!A2:B2967,2,FALSE)</f>
        <v/>
      </c>
    </row>
    <row r="6122">
      <c r="A6122" t="inlineStr">
        <is>
          <t xml:space="preserve">safety </t>
        </is>
      </c>
      <c r="B6122">
        <f>VLOOKUP(1796,Requirements!A2:B2967,2,FALSE)</f>
        <v/>
      </c>
    </row>
    <row r="6123">
      <c r="A6123" t="inlineStr">
        <is>
          <t xml:space="preserve">safety </t>
        </is>
      </c>
      <c r="B6123">
        <f>VLOOKUP(1849,Requirements!A2:B2967,2,FALSE)</f>
        <v/>
      </c>
    </row>
    <row r="6124">
      <c r="A6124" t="inlineStr">
        <is>
          <t xml:space="preserve">safety </t>
        </is>
      </c>
      <c r="B6124">
        <f>VLOOKUP(1881,Requirements!A2:B2967,2,FALSE)</f>
        <v/>
      </c>
    </row>
    <row r="6125">
      <c r="A6125" t="inlineStr">
        <is>
          <t xml:space="preserve">safety </t>
        </is>
      </c>
      <c r="B6125">
        <f>VLOOKUP(2016,Requirements!A2:B2967,2,FALSE)</f>
        <v/>
      </c>
    </row>
    <row r="6126">
      <c r="A6126" t="inlineStr">
        <is>
          <t xml:space="preserve">safety </t>
        </is>
      </c>
      <c r="B6126">
        <f>VLOOKUP(2075,Requirements!A2:B2967,2,FALSE)</f>
        <v/>
      </c>
    </row>
    <row r="6127">
      <c r="A6127" t="inlineStr">
        <is>
          <t xml:space="preserve">safety </t>
        </is>
      </c>
      <c r="B6127">
        <f>VLOOKUP(2160,Requirements!A2:B2967,2,FALSE)</f>
        <v/>
      </c>
    </row>
    <row r="6128">
      <c r="A6128" t="inlineStr">
        <is>
          <t xml:space="preserve">safety </t>
        </is>
      </c>
      <c r="B6128">
        <f>VLOOKUP(2194,Requirements!A2:B2967,2,FALSE)</f>
        <v/>
      </c>
    </row>
    <row r="6129">
      <c r="A6129" t="inlineStr">
        <is>
          <t xml:space="preserve">safety </t>
        </is>
      </c>
      <c r="B6129">
        <f>VLOOKUP(2282,Requirements!A2:B2967,2,FALSE)</f>
        <v/>
      </c>
    </row>
    <row r="6130">
      <c r="A6130" t="inlineStr">
        <is>
          <t xml:space="preserve">safety </t>
        </is>
      </c>
      <c r="B6130">
        <f>VLOOKUP(2702,Requirements!A2:B2967,2,FALSE)</f>
        <v/>
      </c>
    </row>
    <row r="6131">
      <c r="A6131" t="inlineStr">
        <is>
          <t xml:space="preserve">safety </t>
        </is>
      </c>
      <c r="B6131">
        <f>VLOOKUP(3146,Requirements!A2:B2967,2,FALSE)</f>
        <v/>
      </c>
    </row>
    <row r="6132">
      <c r="A6132" t="inlineStr">
        <is>
          <t xml:space="preserve">box </t>
        </is>
      </c>
      <c r="B6132">
        <f>VLOOKUP(47,Requirements!A2:B2967,2,FALSE)</f>
        <v/>
      </c>
    </row>
    <row r="6133">
      <c r="A6133" t="inlineStr">
        <is>
          <t xml:space="preserve">box </t>
        </is>
      </c>
      <c r="B6133">
        <f>VLOOKUP(607,Requirements!A2:B2967,2,FALSE)</f>
        <v/>
      </c>
    </row>
    <row r="6134">
      <c r="A6134" t="inlineStr">
        <is>
          <t xml:space="preserve">box </t>
        </is>
      </c>
      <c r="B6134">
        <f>VLOOKUP(802,Requirements!A2:B2967,2,FALSE)</f>
        <v/>
      </c>
    </row>
    <row r="6135">
      <c r="A6135" t="inlineStr">
        <is>
          <t xml:space="preserve">box </t>
        </is>
      </c>
      <c r="B6135">
        <f>VLOOKUP(1248,Requirements!A2:B2967,2,FALSE)</f>
        <v/>
      </c>
    </row>
    <row r="6136">
      <c r="A6136" t="inlineStr">
        <is>
          <t xml:space="preserve">box </t>
        </is>
      </c>
      <c r="B6136">
        <f>VLOOKUP(1461,Requirements!A2:B2967,2,FALSE)</f>
        <v/>
      </c>
    </row>
    <row r="6137">
      <c r="A6137" t="inlineStr">
        <is>
          <t xml:space="preserve">box </t>
        </is>
      </c>
      <c r="B6137">
        <f>VLOOKUP(1515,Requirements!A2:B2967,2,FALSE)</f>
        <v/>
      </c>
    </row>
    <row r="6138">
      <c r="A6138" t="inlineStr">
        <is>
          <t xml:space="preserve">box </t>
        </is>
      </c>
      <c r="B6138">
        <f>VLOOKUP(1946,Requirements!A2:B2967,2,FALSE)</f>
        <v/>
      </c>
    </row>
    <row r="6139">
      <c r="A6139" t="inlineStr">
        <is>
          <t xml:space="preserve">box </t>
        </is>
      </c>
      <c r="B6139">
        <f>VLOOKUP(2364,Requirements!A2:B2967,2,FALSE)</f>
        <v/>
      </c>
    </row>
    <row r="6140">
      <c r="A6140" t="inlineStr">
        <is>
          <t xml:space="preserve">box </t>
        </is>
      </c>
      <c r="B6140">
        <f>VLOOKUP(2420,Requirements!A2:B2967,2,FALSE)</f>
        <v/>
      </c>
    </row>
    <row r="6141">
      <c r="A6141" t="inlineStr">
        <is>
          <t xml:space="preserve">box </t>
        </is>
      </c>
      <c r="B6141">
        <f>VLOOKUP(2462,Requirements!A2:B2967,2,FALSE)</f>
        <v/>
      </c>
    </row>
    <row r="6142">
      <c r="A6142" t="inlineStr">
        <is>
          <t xml:space="preserve">box </t>
        </is>
      </c>
      <c r="B6142">
        <f>VLOOKUP(2473,Requirements!A2:B2967,2,FALSE)</f>
        <v/>
      </c>
    </row>
    <row r="6143">
      <c r="A6143" t="inlineStr">
        <is>
          <t xml:space="preserve">box </t>
        </is>
      </c>
      <c r="B6143">
        <f>VLOOKUP(2966,Requirements!A2:B2967,2,FALSE)</f>
        <v/>
      </c>
    </row>
    <row r="6144">
      <c r="A6144" t="inlineStr">
        <is>
          <t xml:space="preserve">automatic </t>
        </is>
      </c>
      <c r="B6144">
        <f>VLOOKUP(48,Requirements!A2:B2967,2,FALSE)</f>
        <v/>
      </c>
    </row>
    <row r="6145">
      <c r="A6145" t="inlineStr">
        <is>
          <t xml:space="preserve">automatic </t>
        </is>
      </c>
      <c r="B6145">
        <f>VLOOKUP(174,Requirements!A2:B2967,2,FALSE)</f>
        <v/>
      </c>
    </row>
    <row r="6146">
      <c r="A6146" t="inlineStr">
        <is>
          <t xml:space="preserve">automatic </t>
        </is>
      </c>
      <c r="B6146">
        <f>VLOOKUP(227,Requirements!A2:B2967,2,FALSE)</f>
        <v/>
      </c>
    </row>
    <row r="6147">
      <c r="A6147" t="inlineStr">
        <is>
          <t xml:space="preserve">automatic </t>
        </is>
      </c>
      <c r="B6147">
        <f>VLOOKUP(355,Requirements!A2:B2967,2,FALSE)</f>
        <v/>
      </c>
    </row>
    <row r="6148">
      <c r="A6148" t="inlineStr">
        <is>
          <t xml:space="preserve">automatic </t>
        </is>
      </c>
      <c r="B6148">
        <f>VLOOKUP(712,Requirements!A2:B2967,2,FALSE)</f>
        <v/>
      </c>
    </row>
    <row r="6149">
      <c r="A6149" t="inlineStr">
        <is>
          <t xml:space="preserve">automatic </t>
        </is>
      </c>
      <c r="B6149">
        <f>VLOOKUP(741,Requirements!A2:B2967,2,FALSE)</f>
        <v/>
      </c>
    </row>
    <row r="6150">
      <c r="A6150" t="inlineStr">
        <is>
          <t xml:space="preserve">automatic </t>
        </is>
      </c>
      <c r="B6150">
        <f>VLOOKUP(999,Requirements!A2:B2967,2,FALSE)</f>
        <v/>
      </c>
    </row>
    <row r="6151">
      <c r="A6151" t="inlineStr">
        <is>
          <t xml:space="preserve">automatic </t>
        </is>
      </c>
      <c r="B6151">
        <f>VLOOKUP(1152,Requirements!A2:B2967,2,FALSE)</f>
        <v/>
      </c>
    </row>
    <row r="6152">
      <c r="A6152" t="inlineStr">
        <is>
          <t xml:space="preserve">automatic </t>
        </is>
      </c>
      <c r="B6152">
        <f>VLOOKUP(1157,Requirements!A2:B2967,2,FALSE)</f>
        <v/>
      </c>
    </row>
    <row r="6153">
      <c r="A6153" t="inlineStr">
        <is>
          <t xml:space="preserve">automatic </t>
        </is>
      </c>
      <c r="B6153">
        <f>VLOOKUP(1265,Requirements!A2:B2967,2,FALSE)</f>
        <v/>
      </c>
    </row>
    <row r="6154">
      <c r="A6154" t="inlineStr">
        <is>
          <t xml:space="preserve">automatic </t>
        </is>
      </c>
      <c r="B6154">
        <f>VLOOKUP(1271,Requirements!A2:B2967,2,FALSE)</f>
        <v/>
      </c>
    </row>
    <row r="6155">
      <c r="A6155" t="inlineStr">
        <is>
          <t xml:space="preserve">automatic </t>
        </is>
      </c>
      <c r="B6155">
        <f>VLOOKUP(1274,Requirements!A2:B2967,2,FALSE)</f>
        <v/>
      </c>
    </row>
    <row r="6156">
      <c r="A6156" t="inlineStr">
        <is>
          <t xml:space="preserve">automatic </t>
        </is>
      </c>
      <c r="B6156">
        <f>VLOOKUP(1391,Requirements!A2:B2967,2,FALSE)</f>
        <v/>
      </c>
    </row>
    <row r="6157">
      <c r="A6157" t="inlineStr">
        <is>
          <t xml:space="preserve">automatic </t>
        </is>
      </c>
      <c r="B6157">
        <f>VLOOKUP(1600,Requirements!A2:B2967,2,FALSE)</f>
        <v/>
      </c>
    </row>
    <row r="6158">
      <c r="A6158" t="inlineStr">
        <is>
          <t xml:space="preserve">automatic </t>
        </is>
      </c>
      <c r="B6158">
        <f>VLOOKUP(1705,Requirements!A2:B2967,2,FALSE)</f>
        <v/>
      </c>
    </row>
    <row r="6159">
      <c r="A6159" t="inlineStr">
        <is>
          <t xml:space="preserve">automatic </t>
        </is>
      </c>
      <c r="B6159">
        <f>VLOOKUP(1708,Requirements!A2:B2967,2,FALSE)</f>
        <v/>
      </c>
    </row>
    <row r="6160">
      <c r="A6160" t="inlineStr">
        <is>
          <t xml:space="preserve">automatic </t>
        </is>
      </c>
      <c r="B6160">
        <f>VLOOKUP(1713,Requirements!A2:B2967,2,FALSE)</f>
        <v/>
      </c>
    </row>
    <row r="6161">
      <c r="A6161" t="inlineStr">
        <is>
          <t xml:space="preserve">automatic </t>
        </is>
      </c>
      <c r="B6161">
        <f>VLOOKUP(1715,Requirements!A2:B2967,2,FALSE)</f>
        <v/>
      </c>
    </row>
    <row r="6162">
      <c r="A6162" t="inlineStr">
        <is>
          <t xml:space="preserve">automatic </t>
        </is>
      </c>
      <c r="B6162">
        <f>VLOOKUP(1717,Requirements!A2:B2967,2,FALSE)</f>
        <v/>
      </c>
    </row>
    <row r="6163">
      <c r="A6163" t="inlineStr">
        <is>
          <t xml:space="preserve">automatic </t>
        </is>
      </c>
      <c r="B6163">
        <f>VLOOKUP(1719,Requirements!A2:B2967,2,FALSE)</f>
        <v/>
      </c>
    </row>
    <row r="6164">
      <c r="A6164" t="inlineStr">
        <is>
          <t xml:space="preserve">automatic </t>
        </is>
      </c>
      <c r="B6164">
        <f>VLOOKUP(1721,Requirements!A2:B2967,2,FALSE)</f>
        <v/>
      </c>
    </row>
    <row r="6165">
      <c r="A6165" t="inlineStr">
        <is>
          <t xml:space="preserve">automatic </t>
        </is>
      </c>
      <c r="B6165">
        <f>VLOOKUP(1743,Requirements!A2:B2967,2,FALSE)</f>
        <v/>
      </c>
    </row>
    <row r="6166">
      <c r="A6166" t="inlineStr">
        <is>
          <t xml:space="preserve">automatic </t>
        </is>
      </c>
      <c r="B6166">
        <f>VLOOKUP(1770,Requirements!A2:B2967,2,FALSE)</f>
        <v/>
      </c>
    </row>
    <row r="6167">
      <c r="A6167" t="inlineStr">
        <is>
          <t xml:space="preserve">automatic </t>
        </is>
      </c>
      <c r="B6167">
        <f>VLOOKUP(1841,Requirements!A2:B2967,2,FALSE)</f>
        <v/>
      </c>
    </row>
    <row r="6168">
      <c r="A6168" t="inlineStr">
        <is>
          <t xml:space="preserve">automatic </t>
        </is>
      </c>
      <c r="B6168">
        <f>VLOOKUP(1874,Requirements!A2:B2967,2,FALSE)</f>
        <v/>
      </c>
    </row>
    <row r="6169">
      <c r="A6169" t="inlineStr">
        <is>
          <t xml:space="preserve">automatic </t>
        </is>
      </c>
      <c r="B6169">
        <f>VLOOKUP(1912,Requirements!A2:B2967,2,FALSE)</f>
        <v/>
      </c>
    </row>
    <row r="6170">
      <c r="A6170" t="inlineStr">
        <is>
          <t xml:space="preserve">automatic </t>
        </is>
      </c>
      <c r="B6170">
        <f>VLOOKUP(2151,Requirements!A2:B2967,2,FALSE)</f>
        <v/>
      </c>
    </row>
    <row r="6171">
      <c r="A6171" t="inlineStr">
        <is>
          <t xml:space="preserve">automatic </t>
        </is>
      </c>
      <c r="B6171">
        <f>VLOOKUP(2187,Requirements!A2:B2967,2,FALSE)</f>
        <v/>
      </c>
    </row>
    <row r="6172">
      <c r="A6172" t="inlineStr">
        <is>
          <t xml:space="preserve">automatic </t>
        </is>
      </c>
      <c r="B6172">
        <f>VLOOKUP(2200,Requirements!A2:B2967,2,FALSE)</f>
        <v/>
      </c>
    </row>
    <row r="6173">
      <c r="A6173" t="inlineStr">
        <is>
          <t xml:space="preserve">automatic </t>
        </is>
      </c>
      <c r="B6173">
        <f>VLOOKUP(2249,Requirements!A2:B2967,2,FALSE)</f>
        <v/>
      </c>
    </row>
    <row r="6174">
      <c r="A6174" t="inlineStr">
        <is>
          <t xml:space="preserve">automatic </t>
        </is>
      </c>
      <c r="B6174">
        <f>VLOOKUP(2268,Requirements!A2:B2967,2,FALSE)</f>
        <v/>
      </c>
    </row>
    <row r="6175">
      <c r="A6175" t="inlineStr">
        <is>
          <t xml:space="preserve">automatic </t>
        </is>
      </c>
      <c r="B6175">
        <f>VLOOKUP(2451,Requirements!A2:B2967,2,FALSE)</f>
        <v/>
      </c>
    </row>
    <row r="6176">
      <c r="A6176" t="inlineStr">
        <is>
          <t xml:space="preserve">automatic </t>
        </is>
      </c>
      <c r="B6176">
        <f>VLOOKUP(2538,Requirements!A2:B2967,2,FALSE)</f>
        <v/>
      </c>
    </row>
    <row r="6177">
      <c r="A6177" t="inlineStr">
        <is>
          <t xml:space="preserve">automatic </t>
        </is>
      </c>
      <c r="B6177">
        <f>VLOOKUP(2549,Requirements!A2:B2967,2,FALSE)</f>
        <v/>
      </c>
    </row>
    <row r="6178">
      <c r="A6178" t="inlineStr">
        <is>
          <t xml:space="preserve">automatic </t>
        </is>
      </c>
      <c r="B6178">
        <f>VLOOKUP(2566,Requirements!A2:B2967,2,FALSE)</f>
        <v/>
      </c>
    </row>
    <row r="6179">
      <c r="A6179" t="inlineStr">
        <is>
          <t xml:space="preserve">automatic </t>
        </is>
      </c>
      <c r="B6179">
        <f>VLOOKUP(2721,Requirements!A2:B2967,2,FALSE)</f>
        <v/>
      </c>
    </row>
    <row r="6180">
      <c r="A6180" t="inlineStr">
        <is>
          <t xml:space="preserve">automatic </t>
        </is>
      </c>
      <c r="B6180">
        <f>VLOOKUP(2737,Requirements!A2:B2967,2,FALSE)</f>
        <v/>
      </c>
    </row>
    <row r="6181">
      <c r="A6181" t="inlineStr">
        <is>
          <t xml:space="preserve">automatic </t>
        </is>
      </c>
      <c r="B6181">
        <f>VLOOKUP(2793,Requirements!A2:B2967,2,FALSE)</f>
        <v/>
      </c>
    </row>
    <row r="6182">
      <c r="A6182" t="inlineStr">
        <is>
          <t xml:space="preserve">automatic </t>
        </is>
      </c>
      <c r="B6182">
        <f>VLOOKUP(2851,Requirements!A2:B2967,2,FALSE)</f>
        <v/>
      </c>
    </row>
    <row r="6183">
      <c r="A6183" t="inlineStr">
        <is>
          <t xml:space="preserve">automatic </t>
        </is>
      </c>
      <c r="B6183">
        <f>VLOOKUP(2881,Requirements!A2:B2967,2,FALSE)</f>
        <v/>
      </c>
    </row>
    <row r="6184">
      <c r="A6184" t="inlineStr">
        <is>
          <t xml:space="preserve">automatic </t>
        </is>
      </c>
      <c r="B6184">
        <f>VLOOKUP(2969,Requirements!A2:B2967,2,FALSE)</f>
        <v/>
      </c>
    </row>
    <row r="6185">
      <c r="A6185" t="inlineStr">
        <is>
          <t xml:space="preserve">automatic </t>
        </is>
      </c>
      <c r="B6185">
        <f>VLOOKUP(2971,Requirements!A2:B2967,2,FALSE)</f>
        <v/>
      </c>
    </row>
    <row r="6186">
      <c r="A6186" t="inlineStr">
        <is>
          <t xml:space="preserve">automatic </t>
        </is>
      </c>
      <c r="B6186">
        <f>VLOOKUP(2976,Requirements!A2:B2967,2,FALSE)</f>
        <v/>
      </c>
    </row>
    <row r="6187">
      <c r="A6187" t="inlineStr">
        <is>
          <t xml:space="preserve">automatic </t>
        </is>
      </c>
      <c r="B6187">
        <f>VLOOKUP(2980,Requirements!A2:B2967,2,FALSE)</f>
        <v/>
      </c>
    </row>
    <row r="6188">
      <c r="A6188" t="inlineStr">
        <is>
          <t xml:space="preserve">automatic </t>
        </is>
      </c>
      <c r="B6188">
        <f>VLOOKUP(2983,Requirements!A2:B2967,2,FALSE)</f>
        <v/>
      </c>
    </row>
    <row r="6189">
      <c r="A6189" t="inlineStr">
        <is>
          <t xml:space="preserve">automatic </t>
        </is>
      </c>
      <c r="B6189">
        <f>VLOOKUP(3027,Requirements!A2:B2967,2,FALSE)</f>
        <v/>
      </c>
    </row>
    <row r="6190">
      <c r="A6190" t="inlineStr">
        <is>
          <t xml:space="preserve">automatic </t>
        </is>
      </c>
      <c r="B6190">
        <f>VLOOKUP(3049,Requirements!A2:B2967,2,FALSE)</f>
        <v/>
      </c>
    </row>
    <row r="6191">
      <c r="A6191" t="inlineStr">
        <is>
          <t xml:space="preserve">automatic </t>
        </is>
      </c>
      <c r="B6191">
        <f>VLOOKUP(3091,Requirements!A2:B2967,2,FALSE)</f>
        <v/>
      </c>
    </row>
    <row r="6192">
      <c r="A6192" t="inlineStr">
        <is>
          <t xml:space="preserve">automatic </t>
        </is>
      </c>
      <c r="B6192">
        <f>VLOOKUP(3125,Requirements!A2:B2967,2,FALSE)</f>
        <v/>
      </c>
    </row>
    <row r="6193">
      <c r="A6193" t="inlineStr">
        <is>
          <t xml:space="preserve">automatic </t>
        </is>
      </c>
      <c r="B6193">
        <f>VLOOKUP(3142,Requirements!A2:B2967,2,FALSE)</f>
        <v/>
      </c>
    </row>
    <row r="6194">
      <c r="A6194" t="inlineStr">
        <is>
          <t xml:space="preserve">automatic </t>
        </is>
      </c>
      <c r="B6194">
        <f>VLOOKUP(3143,Requirements!A2:B2967,2,FALSE)</f>
        <v/>
      </c>
    </row>
    <row r="6195">
      <c r="A6195" t="inlineStr">
        <is>
          <t xml:space="preserve">automatic </t>
        </is>
      </c>
      <c r="B6195">
        <f>VLOOKUP(3188,Requirements!A2:B2967,2,FALSE)</f>
        <v/>
      </c>
    </row>
    <row r="6196">
      <c r="A6196" t="inlineStr">
        <is>
          <t xml:space="preserve">automatic </t>
        </is>
      </c>
      <c r="B6196">
        <f>VLOOKUP(3263,Requirements!A2:B2967,2,FALSE)</f>
        <v/>
      </c>
    </row>
    <row r="6197">
      <c r="A6197" t="inlineStr">
        <is>
          <t xml:space="preserve">bad </t>
        </is>
      </c>
      <c r="B6197">
        <f>VLOOKUP(48,Requirements!A2:B2967,2,FALSE)</f>
        <v/>
      </c>
    </row>
    <row r="6198">
      <c r="A6198" t="inlineStr">
        <is>
          <t xml:space="preserve">bad </t>
        </is>
      </c>
      <c r="B6198">
        <f>VLOOKUP(310,Requirements!A2:B2967,2,FALSE)</f>
        <v/>
      </c>
    </row>
    <row r="6199">
      <c r="A6199" t="inlineStr">
        <is>
          <t xml:space="preserve">bad </t>
        </is>
      </c>
      <c r="B6199">
        <f>VLOOKUP(643,Requirements!A2:B2967,2,FALSE)</f>
        <v/>
      </c>
    </row>
    <row r="6200">
      <c r="A6200" t="inlineStr">
        <is>
          <t xml:space="preserve">bad </t>
        </is>
      </c>
      <c r="B6200">
        <f>VLOOKUP(716,Requirements!A2:B2967,2,FALSE)</f>
        <v/>
      </c>
    </row>
    <row r="6201">
      <c r="A6201" t="inlineStr">
        <is>
          <t xml:space="preserve">bad </t>
        </is>
      </c>
      <c r="B6201">
        <f>VLOOKUP(966,Requirements!A2:B2967,2,FALSE)</f>
        <v/>
      </c>
    </row>
    <row r="6202">
      <c r="A6202" t="inlineStr">
        <is>
          <t xml:space="preserve">bad </t>
        </is>
      </c>
      <c r="B6202">
        <f>VLOOKUP(1263,Requirements!A2:B2967,2,FALSE)</f>
        <v/>
      </c>
    </row>
    <row r="6203">
      <c r="A6203" t="inlineStr">
        <is>
          <t xml:space="preserve">bad </t>
        </is>
      </c>
      <c r="B6203">
        <f>VLOOKUP(1359,Requirements!A2:B2967,2,FALSE)</f>
        <v/>
      </c>
    </row>
    <row r="6204">
      <c r="A6204" t="inlineStr">
        <is>
          <t xml:space="preserve">bad </t>
        </is>
      </c>
      <c r="B6204">
        <f>VLOOKUP(1591,Requirements!A2:B2967,2,FALSE)</f>
        <v/>
      </c>
    </row>
    <row r="6205">
      <c r="A6205" t="inlineStr">
        <is>
          <t xml:space="preserve">bad </t>
        </is>
      </c>
      <c r="B6205">
        <f>VLOOKUP(1973,Requirements!A2:B2967,2,FALSE)</f>
        <v/>
      </c>
    </row>
    <row r="6206">
      <c r="A6206" t="inlineStr">
        <is>
          <t xml:space="preserve">bad </t>
        </is>
      </c>
      <c r="B6206">
        <f>VLOOKUP(2041,Requirements!A2:B2967,2,FALSE)</f>
        <v/>
      </c>
    </row>
    <row r="6207">
      <c r="A6207" t="inlineStr">
        <is>
          <t xml:space="preserve">bad </t>
        </is>
      </c>
      <c r="B6207">
        <f>VLOOKUP(2052,Requirements!A2:B2967,2,FALSE)</f>
        <v/>
      </c>
    </row>
    <row r="6208">
      <c r="A6208" t="inlineStr">
        <is>
          <t xml:space="preserve">bad </t>
        </is>
      </c>
      <c r="B6208">
        <f>VLOOKUP(2303,Requirements!A2:B2967,2,FALSE)</f>
        <v/>
      </c>
    </row>
    <row r="6209">
      <c r="A6209" t="inlineStr">
        <is>
          <t xml:space="preserve">bad </t>
        </is>
      </c>
      <c r="B6209">
        <f>VLOOKUP(2487,Requirements!A2:B2967,2,FALSE)</f>
        <v/>
      </c>
    </row>
    <row r="6210">
      <c r="A6210" t="inlineStr">
        <is>
          <t xml:space="preserve">bad </t>
        </is>
      </c>
      <c r="B6210">
        <f>VLOOKUP(2766,Requirements!A2:B2967,2,FALSE)</f>
        <v/>
      </c>
    </row>
    <row r="6211">
      <c r="A6211" t="inlineStr">
        <is>
          <t xml:space="preserve">bad </t>
        </is>
      </c>
      <c r="B6211">
        <f>VLOOKUP(3015,Requirements!A2:B2967,2,FALSE)</f>
        <v/>
      </c>
    </row>
    <row r="6212">
      <c r="A6212" t="inlineStr">
        <is>
          <t xml:space="preserve">cool </t>
        </is>
      </c>
      <c r="B6212">
        <f>VLOOKUP(50,Requirements!A2:B2967,2,FALSE)</f>
        <v/>
      </c>
    </row>
    <row r="6213">
      <c r="A6213" t="inlineStr">
        <is>
          <t xml:space="preserve">cool </t>
        </is>
      </c>
      <c r="B6213">
        <f>VLOOKUP(245,Requirements!A2:B2967,2,FALSE)</f>
        <v/>
      </c>
    </row>
    <row r="6214">
      <c r="A6214" t="inlineStr">
        <is>
          <t xml:space="preserve">cool </t>
        </is>
      </c>
      <c r="B6214">
        <f>VLOOKUP(503,Requirements!A2:B2967,2,FALSE)</f>
        <v/>
      </c>
    </row>
    <row r="6215">
      <c r="A6215" t="inlineStr">
        <is>
          <t xml:space="preserve">cool </t>
        </is>
      </c>
      <c r="B6215">
        <f>VLOOKUP(709,Requirements!A2:B2967,2,FALSE)</f>
        <v/>
      </c>
    </row>
    <row r="6216">
      <c r="A6216" t="inlineStr">
        <is>
          <t xml:space="preserve">cool </t>
        </is>
      </c>
      <c r="B6216">
        <f>VLOOKUP(768,Requirements!A2:B2967,2,FALSE)</f>
        <v/>
      </c>
    </row>
    <row r="6217">
      <c r="A6217" t="inlineStr">
        <is>
          <t xml:space="preserve">cool </t>
        </is>
      </c>
      <c r="B6217">
        <f>VLOOKUP(1373,Requirements!A2:B2967,2,FALSE)</f>
        <v/>
      </c>
    </row>
    <row r="6218">
      <c r="A6218" t="inlineStr">
        <is>
          <t xml:space="preserve">cool </t>
        </is>
      </c>
      <c r="B6218">
        <f>VLOOKUP(1400,Requirements!A2:B2967,2,FALSE)</f>
        <v/>
      </c>
    </row>
    <row r="6219">
      <c r="A6219" t="inlineStr">
        <is>
          <t xml:space="preserve">cool </t>
        </is>
      </c>
      <c r="B6219">
        <f>VLOOKUP(1744,Requirements!A2:B2967,2,FALSE)</f>
        <v/>
      </c>
    </row>
    <row r="6220">
      <c r="A6220" t="inlineStr">
        <is>
          <t xml:space="preserve">cool </t>
        </is>
      </c>
      <c r="B6220">
        <f>VLOOKUP(1791,Requirements!A2:B2967,2,FALSE)</f>
        <v/>
      </c>
    </row>
    <row r="6221">
      <c r="A6221" t="inlineStr">
        <is>
          <t xml:space="preserve">cool </t>
        </is>
      </c>
      <c r="B6221">
        <f>VLOOKUP(1836,Requirements!A2:B2967,2,FALSE)</f>
        <v/>
      </c>
    </row>
    <row r="6222">
      <c r="A6222" t="inlineStr">
        <is>
          <t xml:space="preserve">cool </t>
        </is>
      </c>
      <c r="B6222">
        <f>VLOOKUP(1979,Requirements!A2:B2967,2,FALSE)</f>
        <v/>
      </c>
    </row>
    <row r="6223">
      <c r="A6223" t="inlineStr">
        <is>
          <t xml:space="preserve">cool </t>
        </is>
      </c>
      <c r="B6223">
        <f>VLOOKUP(2235,Requirements!A2:B2967,2,FALSE)</f>
        <v/>
      </c>
    </row>
    <row r="6224">
      <c r="A6224" t="inlineStr">
        <is>
          <t xml:space="preserve">cool </t>
        </is>
      </c>
      <c r="B6224">
        <f>VLOOKUP(2609,Requirements!A2:B2967,2,FALSE)</f>
        <v/>
      </c>
    </row>
    <row r="6225">
      <c r="A6225" t="inlineStr">
        <is>
          <t xml:space="preserve">cool </t>
        </is>
      </c>
      <c r="B6225">
        <f>VLOOKUP(2954,Requirements!A2:B2967,2,FALSE)</f>
        <v/>
      </c>
    </row>
    <row r="6226">
      <c r="A6226" t="inlineStr">
        <is>
          <t xml:space="preserve">cool </t>
        </is>
      </c>
      <c r="B6226">
        <f>VLOOKUP(2967,Requirements!A2:B2967,2,FALSE)</f>
        <v/>
      </c>
    </row>
    <row r="6227">
      <c r="A6227" t="inlineStr">
        <is>
          <t xml:space="preserve">cool </t>
        </is>
      </c>
      <c r="B6227">
        <f>VLOOKUP(3155,Requirements!A2:B2967,2,FALSE)</f>
        <v/>
      </c>
    </row>
    <row r="6228">
      <c r="A6228" t="inlineStr">
        <is>
          <t xml:space="preserve">cool </t>
        </is>
      </c>
      <c r="B6228">
        <f>VLOOKUP(3157,Requirements!A2:B2967,2,FALSE)</f>
        <v/>
      </c>
    </row>
    <row r="6229">
      <c r="A6229" t="inlineStr">
        <is>
          <t xml:space="preserve">air </t>
        </is>
      </c>
      <c r="B6229">
        <f>VLOOKUP(50,Requirements!A2:B2967,2,FALSE)</f>
        <v/>
      </c>
    </row>
    <row r="6230">
      <c r="A6230" t="inlineStr">
        <is>
          <t xml:space="preserve">air </t>
        </is>
      </c>
      <c r="B6230">
        <f>VLOOKUP(86,Requirements!A2:B2967,2,FALSE)</f>
        <v/>
      </c>
    </row>
    <row r="6231">
      <c r="A6231" t="inlineStr">
        <is>
          <t xml:space="preserve">air </t>
        </is>
      </c>
      <c r="B6231">
        <f>VLOOKUP(139,Requirements!A2:B2967,2,FALSE)</f>
        <v/>
      </c>
    </row>
    <row r="6232">
      <c r="A6232" t="inlineStr">
        <is>
          <t xml:space="preserve">air </t>
        </is>
      </c>
      <c r="B6232">
        <f>VLOOKUP(146,Requirements!A2:B2967,2,FALSE)</f>
        <v/>
      </c>
    </row>
    <row r="6233">
      <c r="A6233" t="inlineStr">
        <is>
          <t xml:space="preserve">air </t>
        </is>
      </c>
      <c r="B6233">
        <f>VLOOKUP(195,Requirements!A2:B2967,2,FALSE)</f>
        <v/>
      </c>
    </row>
    <row r="6234">
      <c r="A6234" t="inlineStr">
        <is>
          <t xml:space="preserve">air </t>
        </is>
      </c>
      <c r="B6234">
        <f>VLOOKUP(360,Requirements!A2:B2967,2,FALSE)</f>
        <v/>
      </c>
    </row>
    <row r="6235">
      <c r="A6235" t="inlineStr">
        <is>
          <t xml:space="preserve">air </t>
        </is>
      </c>
      <c r="B6235">
        <f>VLOOKUP(368,Requirements!A2:B2967,2,FALSE)</f>
        <v/>
      </c>
    </row>
    <row r="6236">
      <c r="A6236" t="inlineStr">
        <is>
          <t xml:space="preserve">air </t>
        </is>
      </c>
      <c r="B6236">
        <f>VLOOKUP(463,Requirements!A2:B2967,2,FALSE)</f>
        <v/>
      </c>
    </row>
    <row r="6237">
      <c r="A6237" t="inlineStr">
        <is>
          <t xml:space="preserve">air </t>
        </is>
      </c>
      <c r="B6237">
        <f>VLOOKUP(542,Requirements!A2:B2967,2,FALSE)</f>
        <v/>
      </c>
    </row>
    <row r="6238">
      <c r="A6238" t="inlineStr">
        <is>
          <t xml:space="preserve">air </t>
        </is>
      </c>
      <c r="B6238">
        <f>VLOOKUP(546,Requirements!A2:B2967,2,FALSE)</f>
        <v/>
      </c>
    </row>
    <row r="6239">
      <c r="A6239" t="inlineStr">
        <is>
          <t xml:space="preserve">air </t>
        </is>
      </c>
      <c r="B6239">
        <f>VLOOKUP(548,Requirements!A2:B2967,2,FALSE)</f>
        <v/>
      </c>
    </row>
    <row r="6240">
      <c r="A6240" t="inlineStr">
        <is>
          <t xml:space="preserve">air </t>
        </is>
      </c>
      <c r="B6240">
        <f>VLOOKUP(640,Requirements!A2:B2967,2,FALSE)</f>
        <v/>
      </c>
    </row>
    <row r="6241">
      <c r="A6241" t="inlineStr">
        <is>
          <t xml:space="preserve">air </t>
        </is>
      </c>
      <c r="B6241">
        <f>VLOOKUP(661,Requirements!A2:B2967,2,FALSE)</f>
        <v/>
      </c>
    </row>
    <row r="6242">
      <c r="A6242" t="inlineStr">
        <is>
          <t xml:space="preserve">air </t>
        </is>
      </c>
      <c r="B6242">
        <f>VLOOKUP(671,Requirements!A2:B2967,2,FALSE)</f>
        <v/>
      </c>
    </row>
    <row r="6243">
      <c r="A6243" t="inlineStr">
        <is>
          <t xml:space="preserve">air </t>
        </is>
      </c>
      <c r="B6243">
        <f>VLOOKUP(920,Requirements!A2:B2967,2,FALSE)</f>
        <v/>
      </c>
    </row>
    <row r="6244">
      <c r="A6244" t="inlineStr">
        <is>
          <t xml:space="preserve">air </t>
        </is>
      </c>
      <c r="B6244">
        <f>VLOOKUP(992,Requirements!A2:B2967,2,FALSE)</f>
        <v/>
      </c>
    </row>
    <row r="6245">
      <c r="A6245" t="inlineStr">
        <is>
          <t xml:space="preserve">air </t>
        </is>
      </c>
      <c r="B6245">
        <f>VLOOKUP(1007,Requirements!A2:B2967,2,FALSE)</f>
        <v/>
      </c>
    </row>
    <row r="6246">
      <c r="A6246" t="inlineStr">
        <is>
          <t xml:space="preserve">air </t>
        </is>
      </c>
      <c r="B6246">
        <f>VLOOKUP(1075,Requirements!A2:B2967,2,FALSE)</f>
        <v/>
      </c>
    </row>
    <row r="6247">
      <c r="A6247" t="inlineStr">
        <is>
          <t xml:space="preserve">air </t>
        </is>
      </c>
      <c r="B6247">
        <f>VLOOKUP(1104,Requirements!A2:B2967,2,FALSE)</f>
        <v/>
      </c>
    </row>
    <row r="6248">
      <c r="A6248" t="inlineStr">
        <is>
          <t xml:space="preserve">air </t>
        </is>
      </c>
      <c r="B6248">
        <f>VLOOKUP(1157,Requirements!A2:B2967,2,FALSE)</f>
        <v/>
      </c>
    </row>
    <row r="6249">
      <c r="A6249" t="inlineStr">
        <is>
          <t xml:space="preserve">air </t>
        </is>
      </c>
      <c r="B6249">
        <f>VLOOKUP(1273,Requirements!A2:B2967,2,FALSE)</f>
        <v/>
      </c>
    </row>
    <row r="6250">
      <c r="A6250" t="inlineStr">
        <is>
          <t xml:space="preserve">air </t>
        </is>
      </c>
      <c r="B6250">
        <f>VLOOKUP(1299,Requirements!A2:B2967,2,FALSE)</f>
        <v/>
      </c>
    </row>
    <row r="6251">
      <c r="A6251" t="inlineStr">
        <is>
          <t xml:space="preserve">air </t>
        </is>
      </c>
      <c r="B6251">
        <f>VLOOKUP(1456,Requirements!A2:B2967,2,FALSE)</f>
        <v/>
      </c>
    </row>
    <row r="6252">
      <c r="A6252" t="inlineStr">
        <is>
          <t xml:space="preserve">air </t>
        </is>
      </c>
      <c r="B6252">
        <f>VLOOKUP(1535,Requirements!A2:B2967,2,FALSE)</f>
        <v/>
      </c>
    </row>
    <row r="6253">
      <c r="A6253" t="inlineStr">
        <is>
          <t xml:space="preserve">air </t>
        </is>
      </c>
      <c r="B6253">
        <f>VLOOKUP(1694,Requirements!A2:B2967,2,FALSE)</f>
        <v/>
      </c>
    </row>
    <row r="6254">
      <c r="A6254" t="inlineStr">
        <is>
          <t xml:space="preserve">air </t>
        </is>
      </c>
      <c r="B6254">
        <f>VLOOKUP(1849,Requirements!A2:B2967,2,FALSE)</f>
        <v/>
      </c>
    </row>
    <row r="6255">
      <c r="A6255" t="inlineStr">
        <is>
          <t xml:space="preserve">air </t>
        </is>
      </c>
      <c r="B6255">
        <f>VLOOKUP(1876,Requirements!A2:B2967,2,FALSE)</f>
        <v/>
      </c>
    </row>
    <row r="6256">
      <c r="A6256" t="inlineStr">
        <is>
          <t xml:space="preserve">air </t>
        </is>
      </c>
      <c r="B6256">
        <f>VLOOKUP(1888,Requirements!A2:B2967,2,FALSE)</f>
        <v/>
      </c>
    </row>
    <row r="6257">
      <c r="A6257" t="inlineStr">
        <is>
          <t xml:space="preserve">air </t>
        </is>
      </c>
      <c r="B6257">
        <f>VLOOKUP(1910,Requirements!A2:B2967,2,FALSE)</f>
        <v/>
      </c>
    </row>
    <row r="6258">
      <c r="A6258" t="inlineStr">
        <is>
          <t xml:space="preserve">air </t>
        </is>
      </c>
      <c r="B6258">
        <f>VLOOKUP(1948,Requirements!A2:B2967,2,FALSE)</f>
        <v/>
      </c>
    </row>
    <row r="6259">
      <c r="A6259" t="inlineStr">
        <is>
          <t xml:space="preserve">air </t>
        </is>
      </c>
      <c r="B6259">
        <f>VLOOKUP(1950,Requirements!A2:B2967,2,FALSE)</f>
        <v/>
      </c>
    </row>
    <row r="6260">
      <c r="A6260" t="inlineStr">
        <is>
          <t xml:space="preserve">air </t>
        </is>
      </c>
      <c r="B6260">
        <f>VLOOKUP(2002,Requirements!A2:B2967,2,FALSE)</f>
        <v/>
      </c>
    </row>
    <row r="6261">
      <c r="A6261" t="inlineStr">
        <is>
          <t xml:space="preserve">air </t>
        </is>
      </c>
      <c r="B6261">
        <f>VLOOKUP(2025,Requirements!A2:B2967,2,FALSE)</f>
        <v/>
      </c>
    </row>
    <row r="6262">
      <c r="A6262" t="inlineStr">
        <is>
          <t xml:space="preserve">air </t>
        </is>
      </c>
      <c r="B6262">
        <f>VLOOKUP(2171,Requirements!A2:B2967,2,FALSE)</f>
        <v/>
      </c>
    </row>
    <row r="6263">
      <c r="A6263" t="inlineStr">
        <is>
          <t xml:space="preserve">air </t>
        </is>
      </c>
      <c r="B6263">
        <f>VLOOKUP(2289,Requirements!A2:B2967,2,FALSE)</f>
        <v/>
      </c>
    </row>
    <row r="6264">
      <c r="A6264" t="inlineStr">
        <is>
          <t xml:space="preserve">air </t>
        </is>
      </c>
      <c r="B6264">
        <f>VLOOKUP(2473,Requirements!A2:B2967,2,FALSE)</f>
        <v/>
      </c>
    </row>
    <row r="6265">
      <c r="A6265" t="inlineStr">
        <is>
          <t xml:space="preserve">air </t>
        </is>
      </c>
      <c r="B6265">
        <f>VLOOKUP(2510,Requirements!A2:B2967,2,FALSE)</f>
        <v/>
      </c>
    </row>
    <row r="6266">
      <c r="A6266" t="inlineStr">
        <is>
          <t xml:space="preserve">air </t>
        </is>
      </c>
      <c r="B6266">
        <f>VLOOKUP(2539,Requirements!A2:B2967,2,FALSE)</f>
        <v/>
      </c>
    </row>
    <row r="6267">
      <c r="A6267" t="inlineStr">
        <is>
          <t xml:space="preserve">air </t>
        </is>
      </c>
      <c r="B6267">
        <f>VLOOKUP(2551,Requirements!A2:B2967,2,FALSE)</f>
        <v/>
      </c>
    </row>
    <row r="6268">
      <c r="A6268" t="inlineStr">
        <is>
          <t xml:space="preserve">air </t>
        </is>
      </c>
      <c r="B6268">
        <f>VLOOKUP(2746,Requirements!A2:B2967,2,FALSE)</f>
        <v/>
      </c>
    </row>
    <row r="6269">
      <c r="A6269" t="inlineStr">
        <is>
          <t xml:space="preserve">air </t>
        </is>
      </c>
      <c r="B6269">
        <f>VLOOKUP(2758,Requirements!A2:B2967,2,FALSE)</f>
        <v/>
      </c>
    </row>
    <row r="6270">
      <c r="A6270" t="inlineStr">
        <is>
          <t xml:space="preserve">air </t>
        </is>
      </c>
      <c r="B6270">
        <f>VLOOKUP(2812,Requirements!A2:B2967,2,FALSE)</f>
        <v/>
      </c>
    </row>
    <row r="6271">
      <c r="A6271" t="inlineStr">
        <is>
          <t xml:space="preserve">air </t>
        </is>
      </c>
      <c r="B6271">
        <f>VLOOKUP(2894,Requirements!A2:B2967,2,FALSE)</f>
        <v/>
      </c>
    </row>
    <row r="6272">
      <c r="A6272" t="inlineStr">
        <is>
          <t xml:space="preserve">air </t>
        </is>
      </c>
      <c r="B6272">
        <f>VLOOKUP(2997,Requirements!A2:B2967,2,FALSE)</f>
        <v/>
      </c>
    </row>
    <row r="6273">
      <c r="A6273" t="inlineStr">
        <is>
          <t xml:space="preserve">air </t>
        </is>
      </c>
      <c r="B6273">
        <f>VLOOKUP(3013,Requirements!A2:B2967,2,FALSE)</f>
        <v/>
      </c>
    </row>
    <row r="6274">
      <c r="A6274" t="inlineStr">
        <is>
          <t xml:space="preserve">air </t>
        </is>
      </c>
      <c r="B6274">
        <f>VLOOKUP(3041,Requirements!A2:B2967,2,FALSE)</f>
        <v/>
      </c>
    </row>
    <row r="6275">
      <c r="A6275" t="inlineStr">
        <is>
          <t xml:space="preserve">air </t>
        </is>
      </c>
      <c r="B6275">
        <f>VLOOKUP(3065,Requirements!A2:B2967,2,FALSE)</f>
        <v/>
      </c>
    </row>
    <row r="6276">
      <c r="A6276" t="inlineStr">
        <is>
          <t xml:space="preserve">air </t>
        </is>
      </c>
      <c r="B6276">
        <f>VLOOKUP(3068,Requirements!A2:B2967,2,FALSE)</f>
        <v/>
      </c>
    </row>
    <row r="6277">
      <c r="A6277" t="inlineStr">
        <is>
          <t xml:space="preserve">air </t>
        </is>
      </c>
      <c r="B6277">
        <f>VLOOKUP(3096,Requirements!A2:B2967,2,FALSE)</f>
        <v/>
      </c>
    </row>
    <row r="6278">
      <c r="A6278" t="inlineStr">
        <is>
          <t xml:space="preserve">air </t>
        </is>
      </c>
      <c r="B6278">
        <f>VLOOKUP(3152,Requirements!A2:B2967,2,FALSE)</f>
        <v/>
      </c>
    </row>
    <row r="6279">
      <c r="A6279" t="inlineStr">
        <is>
          <t xml:space="preserve">hot </t>
        </is>
      </c>
      <c r="B6279">
        <f>VLOOKUP(50,Requirements!A2:B2967,2,FALSE)</f>
        <v/>
      </c>
    </row>
    <row r="6280">
      <c r="A6280" t="inlineStr">
        <is>
          <t xml:space="preserve">hot </t>
        </is>
      </c>
      <c r="B6280">
        <f>VLOOKUP(341,Requirements!A2:B2967,2,FALSE)</f>
        <v/>
      </c>
    </row>
    <row r="6281">
      <c r="A6281" t="inlineStr">
        <is>
          <t xml:space="preserve">hot </t>
        </is>
      </c>
      <c r="B6281">
        <f>VLOOKUP(421,Requirements!A2:B2967,2,FALSE)</f>
        <v/>
      </c>
    </row>
    <row r="6282">
      <c r="A6282" t="inlineStr">
        <is>
          <t xml:space="preserve">hot </t>
        </is>
      </c>
      <c r="B6282">
        <f>VLOOKUP(552,Requirements!A2:B2967,2,FALSE)</f>
        <v/>
      </c>
    </row>
    <row r="6283">
      <c r="A6283" t="inlineStr">
        <is>
          <t xml:space="preserve">hot </t>
        </is>
      </c>
      <c r="B6283">
        <f>VLOOKUP(886,Requirements!A2:B2967,2,FALSE)</f>
        <v/>
      </c>
    </row>
    <row r="6284">
      <c r="A6284" t="inlineStr">
        <is>
          <t xml:space="preserve">hot </t>
        </is>
      </c>
      <c r="B6284">
        <f>VLOOKUP(1184,Requirements!A2:B2967,2,FALSE)</f>
        <v/>
      </c>
    </row>
    <row r="6285">
      <c r="A6285" t="inlineStr">
        <is>
          <t xml:space="preserve">hot </t>
        </is>
      </c>
      <c r="B6285">
        <f>VLOOKUP(1337,Requirements!A2:B2967,2,FALSE)</f>
        <v/>
      </c>
    </row>
    <row r="6286">
      <c r="A6286" t="inlineStr">
        <is>
          <t xml:space="preserve">hot </t>
        </is>
      </c>
      <c r="B6286">
        <f>VLOOKUP(1770,Requirements!A2:B2967,2,FALSE)</f>
        <v/>
      </c>
    </row>
    <row r="6287">
      <c r="A6287" t="inlineStr">
        <is>
          <t xml:space="preserve">hot </t>
        </is>
      </c>
      <c r="B6287">
        <f>VLOOKUP(1836,Requirements!A2:B2967,2,FALSE)</f>
        <v/>
      </c>
    </row>
    <row r="6288">
      <c r="A6288" t="inlineStr">
        <is>
          <t xml:space="preserve">hot </t>
        </is>
      </c>
      <c r="B6288">
        <f>VLOOKUP(1992,Requirements!A2:B2967,2,FALSE)</f>
        <v/>
      </c>
    </row>
    <row r="6289">
      <c r="A6289" t="inlineStr">
        <is>
          <t xml:space="preserve">hot </t>
        </is>
      </c>
      <c r="B6289">
        <f>VLOOKUP(2034,Requirements!A2:B2967,2,FALSE)</f>
        <v/>
      </c>
    </row>
    <row r="6290">
      <c r="A6290" t="inlineStr">
        <is>
          <t xml:space="preserve">hot </t>
        </is>
      </c>
      <c r="B6290">
        <f>VLOOKUP(2225,Requirements!A2:B2967,2,FALSE)</f>
        <v/>
      </c>
    </row>
    <row r="6291">
      <c r="A6291" t="inlineStr">
        <is>
          <t xml:space="preserve">hot </t>
        </is>
      </c>
      <c r="B6291">
        <f>VLOOKUP(2245,Requirements!A2:B2967,2,FALSE)</f>
        <v/>
      </c>
    </row>
    <row r="6292">
      <c r="A6292" t="inlineStr">
        <is>
          <t xml:space="preserve">hot </t>
        </is>
      </c>
      <c r="B6292">
        <f>VLOOKUP(2379,Requirements!A2:B2967,2,FALSE)</f>
        <v/>
      </c>
    </row>
    <row r="6293">
      <c r="A6293" t="inlineStr">
        <is>
          <t xml:space="preserve">hot </t>
        </is>
      </c>
      <c r="B6293">
        <f>VLOOKUP(2635,Requirements!A2:B2967,2,FALSE)</f>
        <v/>
      </c>
    </row>
    <row r="6294">
      <c r="A6294" t="inlineStr">
        <is>
          <t xml:space="preserve">hot </t>
        </is>
      </c>
      <c r="B6294">
        <f>VLOOKUP(2979,Requirements!A2:B2967,2,FALSE)</f>
        <v/>
      </c>
    </row>
    <row r="6295">
      <c r="A6295" t="inlineStr">
        <is>
          <t xml:space="preserve">hot </t>
        </is>
      </c>
      <c r="B6295">
        <f>VLOOKUP(3032,Requirements!A2:B2967,2,FALSE)</f>
        <v/>
      </c>
    </row>
    <row r="6296">
      <c r="A6296" t="inlineStr">
        <is>
          <t xml:space="preserve">hot </t>
        </is>
      </c>
      <c r="B6296">
        <f>VLOOKUP(3084,Requirements!A2:B2967,2,FALSE)</f>
        <v/>
      </c>
    </row>
    <row r="6297">
      <c r="A6297" t="inlineStr">
        <is>
          <t xml:space="preserve">child </t>
        </is>
      </c>
      <c r="B6297">
        <f>VLOOKUP(54,Requirements!A2:B2967,2,FALSE)</f>
        <v/>
      </c>
    </row>
    <row r="6298">
      <c r="A6298" t="inlineStr">
        <is>
          <t xml:space="preserve">child </t>
        </is>
      </c>
      <c r="B6298">
        <f>VLOOKUP(106,Requirements!A2:B2967,2,FALSE)</f>
        <v/>
      </c>
    </row>
    <row r="6299">
      <c r="A6299" t="inlineStr">
        <is>
          <t xml:space="preserve">child </t>
        </is>
      </c>
      <c r="B6299">
        <f>VLOOKUP(144,Requirements!A2:B2967,2,FALSE)</f>
        <v/>
      </c>
    </row>
    <row r="6300">
      <c r="A6300" t="inlineStr">
        <is>
          <t xml:space="preserve">child </t>
        </is>
      </c>
      <c r="B6300">
        <f>VLOOKUP(148,Requirements!A2:B2967,2,FALSE)</f>
        <v/>
      </c>
    </row>
    <row r="6301">
      <c r="A6301" t="inlineStr">
        <is>
          <t xml:space="preserve">child </t>
        </is>
      </c>
      <c r="B6301">
        <f>VLOOKUP(149,Requirements!A2:B2967,2,FALSE)</f>
        <v/>
      </c>
    </row>
    <row r="6302">
      <c r="A6302" t="inlineStr">
        <is>
          <t xml:space="preserve">child </t>
        </is>
      </c>
      <c r="B6302">
        <f>VLOOKUP(157,Requirements!A2:B2967,2,FALSE)</f>
        <v/>
      </c>
    </row>
    <row r="6303">
      <c r="A6303" t="inlineStr">
        <is>
          <t xml:space="preserve">child </t>
        </is>
      </c>
      <c r="B6303">
        <f>VLOOKUP(168,Requirements!A2:B2967,2,FALSE)</f>
        <v/>
      </c>
    </row>
    <row r="6304">
      <c r="A6304" t="inlineStr">
        <is>
          <t xml:space="preserve">child </t>
        </is>
      </c>
      <c r="B6304">
        <f>VLOOKUP(211,Requirements!A2:B2967,2,FALSE)</f>
        <v/>
      </c>
    </row>
    <row r="6305">
      <c r="A6305" t="inlineStr">
        <is>
          <t xml:space="preserve">child </t>
        </is>
      </c>
      <c r="B6305">
        <f>VLOOKUP(221,Requirements!A2:B2967,2,FALSE)</f>
        <v/>
      </c>
    </row>
    <row r="6306">
      <c r="A6306" t="inlineStr">
        <is>
          <t xml:space="preserve">child </t>
        </is>
      </c>
      <c r="B6306">
        <f>VLOOKUP(231,Requirements!A2:B2967,2,FALSE)</f>
        <v/>
      </c>
    </row>
    <row r="6307">
      <c r="A6307" t="inlineStr">
        <is>
          <t xml:space="preserve">child </t>
        </is>
      </c>
      <c r="B6307">
        <f>VLOOKUP(292,Requirements!A2:B2967,2,FALSE)</f>
        <v/>
      </c>
    </row>
    <row r="6308">
      <c r="A6308" t="inlineStr">
        <is>
          <t xml:space="preserve">child </t>
        </is>
      </c>
      <c r="B6308">
        <f>VLOOKUP(293,Requirements!A2:B2967,2,FALSE)</f>
        <v/>
      </c>
    </row>
    <row r="6309">
      <c r="A6309" t="inlineStr">
        <is>
          <t xml:space="preserve">child </t>
        </is>
      </c>
      <c r="B6309">
        <f>VLOOKUP(301,Requirements!A2:B2967,2,FALSE)</f>
        <v/>
      </c>
    </row>
    <row r="6310">
      <c r="A6310" t="inlineStr">
        <is>
          <t xml:space="preserve">child </t>
        </is>
      </c>
      <c r="B6310">
        <f>VLOOKUP(313,Requirements!A2:B2967,2,FALSE)</f>
        <v/>
      </c>
    </row>
    <row r="6311">
      <c r="A6311" t="inlineStr">
        <is>
          <t xml:space="preserve">child </t>
        </is>
      </c>
      <c r="B6311">
        <f>VLOOKUP(325,Requirements!A2:B2967,2,FALSE)</f>
        <v/>
      </c>
    </row>
    <row r="6312">
      <c r="A6312" t="inlineStr">
        <is>
          <t xml:space="preserve">child </t>
        </is>
      </c>
      <c r="B6312">
        <f>VLOOKUP(344,Requirements!A2:B2967,2,FALSE)</f>
        <v/>
      </c>
    </row>
    <row r="6313">
      <c r="A6313" t="inlineStr">
        <is>
          <t xml:space="preserve">child </t>
        </is>
      </c>
      <c r="B6313">
        <f>VLOOKUP(349,Requirements!A2:B2967,2,FALSE)</f>
        <v/>
      </c>
    </row>
    <row r="6314">
      <c r="A6314" t="inlineStr">
        <is>
          <t xml:space="preserve">child </t>
        </is>
      </c>
      <c r="B6314">
        <f>VLOOKUP(363,Requirements!A2:B2967,2,FALSE)</f>
        <v/>
      </c>
    </row>
    <row r="6315">
      <c r="A6315" t="inlineStr">
        <is>
          <t xml:space="preserve">child </t>
        </is>
      </c>
      <c r="B6315">
        <f>VLOOKUP(435,Requirements!A2:B2967,2,FALSE)</f>
        <v/>
      </c>
    </row>
    <row r="6316">
      <c r="A6316" t="inlineStr">
        <is>
          <t xml:space="preserve">child </t>
        </is>
      </c>
      <c r="B6316">
        <f>VLOOKUP(454,Requirements!A2:B2967,2,FALSE)</f>
        <v/>
      </c>
    </row>
    <row r="6317">
      <c r="A6317" t="inlineStr">
        <is>
          <t xml:space="preserve">child </t>
        </is>
      </c>
      <c r="B6317">
        <f>VLOOKUP(470,Requirements!A2:B2967,2,FALSE)</f>
        <v/>
      </c>
    </row>
    <row r="6318">
      <c r="A6318" t="inlineStr">
        <is>
          <t xml:space="preserve">child </t>
        </is>
      </c>
      <c r="B6318">
        <f>VLOOKUP(504,Requirements!A2:B2967,2,FALSE)</f>
        <v/>
      </c>
    </row>
    <row r="6319">
      <c r="A6319" t="inlineStr">
        <is>
          <t xml:space="preserve">child </t>
        </is>
      </c>
      <c r="B6319">
        <f>VLOOKUP(534,Requirements!A2:B2967,2,FALSE)</f>
        <v/>
      </c>
    </row>
    <row r="6320">
      <c r="A6320" t="inlineStr">
        <is>
          <t xml:space="preserve">child </t>
        </is>
      </c>
      <c r="B6320">
        <f>VLOOKUP(539,Requirements!A2:B2967,2,FALSE)</f>
        <v/>
      </c>
    </row>
    <row r="6321">
      <c r="A6321" t="inlineStr">
        <is>
          <t xml:space="preserve">child </t>
        </is>
      </c>
      <c r="B6321">
        <f>VLOOKUP(609,Requirements!A2:B2967,2,FALSE)</f>
        <v/>
      </c>
    </row>
    <row r="6322">
      <c r="A6322" t="inlineStr">
        <is>
          <t xml:space="preserve">child </t>
        </is>
      </c>
      <c r="B6322">
        <f>VLOOKUP(637,Requirements!A2:B2967,2,FALSE)</f>
        <v/>
      </c>
    </row>
    <row r="6323">
      <c r="A6323" t="inlineStr">
        <is>
          <t xml:space="preserve">child </t>
        </is>
      </c>
      <c r="B6323">
        <f>VLOOKUP(646,Requirements!A2:B2967,2,FALSE)</f>
        <v/>
      </c>
    </row>
    <row r="6324">
      <c r="A6324" t="inlineStr">
        <is>
          <t xml:space="preserve">child </t>
        </is>
      </c>
      <c r="B6324">
        <f>VLOOKUP(654,Requirements!A2:B2967,2,FALSE)</f>
        <v/>
      </c>
    </row>
    <row r="6325">
      <c r="A6325" t="inlineStr">
        <is>
          <t xml:space="preserve">child </t>
        </is>
      </c>
      <c r="B6325">
        <f>VLOOKUP(682,Requirements!A2:B2967,2,FALSE)</f>
        <v/>
      </c>
    </row>
    <row r="6326">
      <c r="A6326" t="inlineStr">
        <is>
          <t xml:space="preserve">child </t>
        </is>
      </c>
      <c r="B6326">
        <f>VLOOKUP(764,Requirements!A2:B2967,2,FALSE)</f>
        <v/>
      </c>
    </row>
    <row r="6327">
      <c r="A6327" t="inlineStr">
        <is>
          <t xml:space="preserve">child </t>
        </is>
      </c>
      <c r="B6327">
        <f>VLOOKUP(810,Requirements!A2:B2967,2,FALSE)</f>
        <v/>
      </c>
    </row>
    <row r="6328">
      <c r="A6328" t="inlineStr">
        <is>
          <t xml:space="preserve">child </t>
        </is>
      </c>
      <c r="B6328">
        <f>VLOOKUP(881,Requirements!A2:B2967,2,FALSE)</f>
        <v/>
      </c>
    </row>
    <row r="6329">
      <c r="A6329" t="inlineStr">
        <is>
          <t xml:space="preserve">child </t>
        </is>
      </c>
      <c r="B6329">
        <f>VLOOKUP(901,Requirements!A2:B2967,2,FALSE)</f>
        <v/>
      </c>
    </row>
    <row r="6330">
      <c r="A6330" t="inlineStr">
        <is>
          <t xml:space="preserve">child </t>
        </is>
      </c>
      <c r="B6330">
        <f>VLOOKUP(902,Requirements!A2:B2967,2,FALSE)</f>
        <v/>
      </c>
    </row>
    <row r="6331">
      <c r="A6331" t="inlineStr">
        <is>
          <t xml:space="preserve">child </t>
        </is>
      </c>
      <c r="B6331">
        <f>VLOOKUP(957,Requirements!A2:B2967,2,FALSE)</f>
        <v/>
      </c>
    </row>
    <row r="6332">
      <c r="A6332" t="inlineStr">
        <is>
          <t xml:space="preserve">child </t>
        </is>
      </c>
      <c r="B6332">
        <f>VLOOKUP(958,Requirements!A2:B2967,2,FALSE)</f>
        <v/>
      </c>
    </row>
    <row r="6333">
      <c r="A6333" t="inlineStr">
        <is>
          <t xml:space="preserve">child </t>
        </is>
      </c>
      <c r="B6333">
        <f>VLOOKUP(959,Requirements!A2:B2967,2,FALSE)</f>
        <v/>
      </c>
    </row>
    <row r="6334">
      <c r="A6334" t="inlineStr">
        <is>
          <t xml:space="preserve">child </t>
        </is>
      </c>
      <c r="B6334">
        <f>VLOOKUP(1052,Requirements!A2:B2967,2,FALSE)</f>
        <v/>
      </c>
    </row>
    <row r="6335">
      <c r="A6335" t="inlineStr">
        <is>
          <t xml:space="preserve">child </t>
        </is>
      </c>
      <c r="B6335">
        <f>VLOOKUP(1081,Requirements!A2:B2967,2,FALSE)</f>
        <v/>
      </c>
    </row>
    <row r="6336">
      <c r="A6336" t="inlineStr">
        <is>
          <t xml:space="preserve">child </t>
        </is>
      </c>
      <c r="B6336">
        <f>VLOOKUP(1132,Requirements!A2:B2967,2,FALSE)</f>
        <v/>
      </c>
    </row>
    <row r="6337">
      <c r="A6337" t="inlineStr">
        <is>
          <t xml:space="preserve">child </t>
        </is>
      </c>
      <c r="B6337">
        <f>VLOOKUP(1192,Requirements!A2:B2967,2,FALSE)</f>
        <v/>
      </c>
    </row>
    <row r="6338">
      <c r="A6338" t="inlineStr">
        <is>
          <t xml:space="preserve">child </t>
        </is>
      </c>
      <c r="B6338">
        <f>VLOOKUP(1196,Requirements!A2:B2967,2,FALSE)</f>
        <v/>
      </c>
    </row>
    <row r="6339">
      <c r="A6339" t="inlineStr">
        <is>
          <t xml:space="preserve">child </t>
        </is>
      </c>
      <c r="B6339">
        <f>VLOOKUP(1199,Requirements!A2:B2967,2,FALSE)</f>
        <v/>
      </c>
    </row>
    <row r="6340">
      <c r="A6340" t="inlineStr">
        <is>
          <t xml:space="preserve">child </t>
        </is>
      </c>
      <c r="B6340">
        <f>VLOOKUP(1203,Requirements!A2:B2967,2,FALSE)</f>
        <v/>
      </c>
    </row>
    <row r="6341">
      <c r="A6341" t="inlineStr">
        <is>
          <t xml:space="preserve">child </t>
        </is>
      </c>
      <c r="B6341">
        <f>VLOOKUP(1210,Requirements!A2:B2967,2,FALSE)</f>
        <v/>
      </c>
    </row>
    <row r="6342">
      <c r="A6342" t="inlineStr">
        <is>
          <t xml:space="preserve">child </t>
        </is>
      </c>
      <c r="B6342">
        <f>VLOOKUP(1220,Requirements!A2:B2967,2,FALSE)</f>
        <v/>
      </c>
    </row>
    <row r="6343">
      <c r="A6343" t="inlineStr">
        <is>
          <t xml:space="preserve">child </t>
        </is>
      </c>
      <c r="B6343">
        <f>VLOOKUP(1237,Requirements!A2:B2967,2,FALSE)</f>
        <v/>
      </c>
    </row>
    <row r="6344">
      <c r="A6344" t="inlineStr">
        <is>
          <t xml:space="preserve">child </t>
        </is>
      </c>
      <c r="B6344">
        <f>VLOOKUP(1276,Requirements!A2:B2967,2,FALSE)</f>
        <v/>
      </c>
    </row>
    <row r="6345">
      <c r="A6345" t="inlineStr">
        <is>
          <t xml:space="preserve">child </t>
        </is>
      </c>
      <c r="B6345">
        <f>VLOOKUP(1279,Requirements!A2:B2967,2,FALSE)</f>
        <v/>
      </c>
    </row>
    <row r="6346">
      <c r="A6346" t="inlineStr">
        <is>
          <t xml:space="preserve">child </t>
        </is>
      </c>
      <c r="B6346">
        <f>VLOOKUP(1288,Requirements!A2:B2967,2,FALSE)</f>
        <v/>
      </c>
    </row>
    <row r="6347">
      <c r="A6347" t="inlineStr">
        <is>
          <t xml:space="preserve">child </t>
        </is>
      </c>
      <c r="B6347">
        <f>VLOOKUP(1341,Requirements!A2:B2967,2,FALSE)</f>
        <v/>
      </c>
    </row>
    <row r="6348">
      <c r="A6348" t="inlineStr">
        <is>
          <t xml:space="preserve">child </t>
        </is>
      </c>
      <c r="B6348">
        <f>VLOOKUP(1356,Requirements!A2:B2967,2,FALSE)</f>
        <v/>
      </c>
    </row>
    <row r="6349">
      <c r="A6349" t="inlineStr">
        <is>
          <t xml:space="preserve">child </t>
        </is>
      </c>
      <c r="B6349">
        <f>VLOOKUP(1361,Requirements!A2:B2967,2,FALSE)</f>
        <v/>
      </c>
    </row>
    <row r="6350">
      <c r="A6350" t="inlineStr">
        <is>
          <t xml:space="preserve">child </t>
        </is>
      </c>
      <c r="B6350">
        <f>VLOOKUP(1365,Requirements!A2:B2967,2,FALSE)</f>
        <v/>
      </c>
    </row>
    <row r="6351">
      <c r="A6351" t="inlineStr">
        <is>
          <t xml:space="preserve">child </t>
        </is>
      </c>
      <c r="B6351">
        <f>VLOOKUP(1366,Requirements!A2:B2967,2,FALSE)</f>
        <v/>
      </c>
    </row>
    <row r="6352">
      <c r="A6352" t="inlineStr">
        <is>
          <t xml:space="preserve">child </t>
        </is>
      </c>
      <c r="B6352">
        <f>VLOOKUP(1514,Requirements!A2:B2967,2,FALSE)</f>
        <v/>
      </c>
    </row>
    <row r="6353">
      <c r="A6353" t="inlineStr">
        <is>
          <t xml:space="preserve">child </t>
        </is>
      </c>
      <c r="B6353">
        <f>VLOOKUP(1537,Requirements!A2:B2967,2,FALSE)</f>
        <v/>
      </c>
    </row>
    <row r="6354">
      <c r="A6354" t="inlineStr">
        <is>
          <t xml:space="preserve">child </t>
        </is>
      </c>
      <c r="B6354">
        <f>VLOOKUP(1543,Requirements!A2:B2967,2,FALSE)</f>
        <v/>
      </c>
    </row>
    <row r="6355">
      <c r="A6355" t="inlineStr">
        <is>
          <t xml:space="preserve">child </t>
        </is>
      </c>
      <c r="B6355">
        <f>VLOOKUP(1568,Requirements!A2:B2967,2,FALSE)</f>
        <v/>
      </c>
    </row>
    <row r="6356">
      <c r="A6356" t="inlineStr">
        <is>
          <t xml:space="preserve">child </t>
        </is>
      </c>
      <c r="B6356">
        <f>VLOOKUP(1586,Requirements!A2:B2967,2,FALSE)</f>
        <v/>
      </c>
    </row>
    <row r="6357">
      <c r="A6357" t="inlineStr">
        <is>
          <t xml:space="preserve">child </t>
        </is>
      </c>
      <c r="B6357">
        <f>VLOOKUP(1598,Requirements!A2:B2967,2,FALSE)</f>
        <v/>
      </c>
    </row>
    <row r="6358">
      <c r="A6358" t="inlineStr">
        <is>
          <t xml:space="preserve">child </t>
        </is>
      </c>
      <c r="B6358">
        <f>VLOOKUP(1655,Requirements!A2:B2967,2,FALSE)</f>
        <v/>
      </c>
    </row>
    <row r="6359">
      <c r="A6359" t="inlineStr">
        <is>
          <t xml:space="preserve">child </t>
        </is>
      </c>
      <c r="B6359">
        <f>VLOOKUP(1703,Requirements!A2:B2967,2,FALSE)</f>
        <v/>
      </c>
    </row>
    <row r="6360">
      <c r="A6360" t="inlineStr">
        <is>
          <t xml:space="preserve">child </t>
        </is>
      </c>
      <c r="B6360">
        <f>VLOOKUP(1724,Requirements!A2:B2967,2,FALSE)</f>
        <v/>
      </c>
    </row>
    <row r="6361">
      <c r="A6361" t="inlineStr">
        <is>
          <t xml:space="preserve">child </t>
        </is>
      </c>
      <c r="B6361">
        <f>VLOOKUP(1739,Requirements!A2:B2967,2,FALSE)</f>
        <v/>
      </c>
    </row>
    <row r="6362">
      <c r="A6362" t="inlineStr">
        <is>
          <t xml:space="preserve">child </t>
        </is>
      </c>
      <c r="B6362">
        <f>VLOOKUP(1742,Requirements!A2:B2967,2,FALSE)</f>
        <v/>
      </c>
    </row>
    <row r="6363">
      <c r="A6363" t="inlineStr">
        <is>
          <t xml:space="preserve">child </t>
        </is>
      </c>
      <c r="B6363">
        <f>VLOOKUP(1796,Requirements!A2:B2967,2,FALSE)</f>
        <v/>
      </c>
    </row>
    <row r="6364">
      <c r="A6364" t="inlineStr">
        <is>
          <t xml:space="preserve">child </t>
        </is>
      </c>
      <c r="B6364">
        <f>VLOOKUP(1799,Requirements!A2:B2967,2,FALSE)</f>
        <v/>
      </c>
    </row>
    <row r="6365">
      <c r="A6365" t="inlineStr">
        <is>
          <t xml:space="preserve">child </t>
        </is>
      </c>
      <c r="B6365">
        <f>VLOOKUP(1801,Requirements!A2:B2967,2,FALSE)</f>
        <v/>
      </c>
    </row>
    <row r="6366">
      <c r="A6366" t="inlineStr">
        <is>
          <t xml:space="preserve">child </t>
        </is>
      </c>
      <c r="B6366">
        <f>VLOOKUP(1809,Requirements!A2:B2967,2,FALSE)</f>
        <v/>
      </c>
    </row>
    <row r="6367">
      <c r="A6367" t="inlineStr">
        <is>
          <t xml:space="preserve">child </t>
        </is>
      </c>
      <c r="B6367">
        <f>VLOOKUP(1813,Requirements!A2:B2967,2,FALSE)</f>
        <v/>
      </c>
    </row>
    <row r="6368">
      <c r="A6368" t="inlineStr">
        <is>
          <t xml:space="preserve">child </t>
        </is>
      </c>
      <c r="B6368">
        <f>VLOOKUP(1827,Requirements!A2:B2967,2,FALSE)</f>
        <v/>
      </c>
    </row>
    <row r="6369">
      <c r="A6369" t="inlineStr">
        <is>
          <t xml:space="preserve">child </t>
        </is>
      </c>
      <c r="B6369">
        <f>VLOOKUP(1834,Requirements!A2:B2967,2,FALSE)</f>
        <v/>
      </c>
    </row>
    <row r="6370">
      <c r="A6370" t="inlineStr">
        <is>
          <t xml:space="preserve">child </t>
        </is>
      </c>
      <c r="B6370">
        <f>VLOOKUP(1875,Requirements!A2:B2967,2,FALSE)</f>
        <v/>
      </c>
    </row>
    <row r="6371">
      <c r="A6371" t="inlineStr">
        <is>
          <t xml:space="preserve">child </t>
        </is>
      </c>
      <c r="B6371">
        <f>VLOOKUP(2026,Requirements!A2:B2967,2,FALSE)</f>
        <v/>
      </c>
    </row>
    <row r="6372">
      <c r="A6372" t="inlineStr">
        <is>
          <t xml:space="preserve">child </t>
        </is>
      </c>
      <c r="B6372">
        <f>VLOOKUP(2034,Requirements!A2:B2967,2,FALSE)</f>
        <v/>
      </c>
    </row>
    <row r="6373">
      <c r="A6373" t="inlineStr">
        <is>
          <t xml:space="preserve">child </t>
        </is>
      </c>
      <c r="B6373">
        <f>VLOOKUP(2058,Requirements!A2:B2967,2,FALSE)</f>
        <v/>
      </c>
    </row>
    <row r="6374">
      <c r="A6374" t="inlineStr">
        <is>
          <t xml:space="preserve">child </t>
        </is>
      </c>
      <c r="B6374">
        <f>VLOOKUP(2073,Requirements!A2:B2967,2,FALSE)</f>
        <v/>
      </c>
    </row>
    <row r="6375">
      <c r="A6375" t="inlineStr">
        <is>
          <t xml:space="preserve">child </t>
        </is>
      </c>
      <c r="B6375">
        <f>VLOOKUP(2132,Requirements!A2:B2967,2,FALSE)</f>
        <v/>
      </c>
    </row>
    <row r="6376">
      <c r="A6376" t="inlineStr">
        <is>
          <t xml:space="preserve">child </t>
        </is>
      </c>
      <c r="B6376">
        <f>VLOOKUP(2184,Requirements!A2:B2967,2,FALSE)</f>
        <v/>
      </c>
    </row>
    <row r="6377">
      <c r="A6377" t="inlineStr">
        <is>
          <t xml:space="preserve">child </t>
        </is>
      </c>
      <c r="B6377">
        <f>VLOOKUP(2199,Requirements!A2:B2967,2,FALSE)</f>
        <v/>
      </c>
    </row>
    <row r="6378">
      <c r="A6378" t="inlineStr">
        <is>
          <t xml:space="preserve">child </t>
        </is>
      </c>
      <c r="B6378">
        <f>VLOOKUP(2217,Requirements!A2:B2967,2,FALSE)</f>
        <v/>
      </c>
    </row>
    <row r="6379">
      <c r="A6379" t="inlineStr">
        <is>
          <t xml:space="preserve">child </t>
        </is>
      </c>
      <c r="B6379">
        <f>VLOOKUP(2232,Requirements!A2:B2967,2,FALSE)</f>
        <v/>
      </c>
    </row>
    <row r="6380">
      <c r="A6380" t="inlineStr">
        <is>
          <t xml:space="preserve">child </t>
        </is>
      </c>
      <c r="B6380">
        <f>VLOOKUP(2240,Requirements!A2:B2967,2,FALSE)</f>
        <v/>
      </c>
    </row>
    <row r="6381">
      <c r="A6381" t="inlineStr">
        <is>
          <t xml:space="preserve">child </t>
        </is>
      </c>
      <c r="B6381">
        <f>VLOOKUP(2246,Requirements!A2:B2967,2,FALSE)</f>
        <v/>
      </c>
    </row>
    <row r="6382">
      <c r="A6382" t="inlineStr">
        <is>
          <t xml:space="preserve">child </t>
        </is>
      </c>
      <c r="B6382">
        <f>VLOOKUP(2256,Requirements!A2:B2967,2,FALSE)</f>
        <v/>
      </c>
    </row>
    <row r="6383">
      <c r="A6383" t="inlineStr">
        <is>
          <t xml:space="preserve">child </t>
        </is>
      </c>
      <c r="B6383">
        <f>VLOOKUP(2273,Requirements!A2:B2967,2,FALSE)</f>
        <v/>
      </c>
    </row>
    <row r="6384">
      <c r="A6384" t="inlineStr">
        <is>
          <t xml:space="preserve">child </t>
        </is>
      </c>
      <c r="B6384">
        <f>VLOOKUP(2292,Requirements!A2:B2967,2,FALSE)</f>
        <v/>
      </c>
    </row>
    <row r="6385">
      <c r="A6385" t="inlineStr">
        <is>
          <t xml:space="preserve">child </t>
        </is>
      </c>
      <c r="B6385">
        <f>VLOOKUP(2347,Requirements!A2:B2967,2,FALSE)</f>
        <v/>
      </c>
    </row>
    <row r="6386">
      <c r="A6386" t="inlineStr">
        <is>
          <t xml:space="preserve">child </t>
        </is>
      </c>
      <c r="B6386">
        <f>VLOOKUP(2353,Requirements!A2:B2967,2,FALSE)</f>
        <v/>
      </c>
    </row>
    <row r="6387">
      <c r="A6387" t="inlineStr">
        <is>
          <t xml:space="preserve">child </t>
        </is>
      </c>
      <c r="B6387">
        <f>VLOOKUP(2393,Requirements!A2:B2967,2,FALSE)</f>
        <v/>
      </c>
    </row>
    <row r="6388">
      <c r="A6388" t="inlineStr">
        <is>
          <t xml:space="preserve">child </t>
        </is>
      </c>
      <c r="B6388">
        <f>VLOOKUP(2410,Requirements!A2:B2967,2,FALSE)</f>
        <v/>
      </c>
    </row>
    <row r="6389">
      <c r="A6389" t="inlineStr">
        <is>
          <t xml:space="preserve">child </t>
        </is>
      </c>
      <c r="B6389">
        <f>VLOOKUP(2424,Requirements!A2:B2967,2,FALSE)</f>
        <v/>
      </c>
    </row>
    <row r="6390">
      <c r="A6390" t="inlineStr">
        <is>
          <t xml:space="preserve">child </t>
        </is>
      </c>
      <c r="B6390">
        <f>VLOOKUP(2429,Requirements!A2:B2967,2,FALSE)</f>
        <v/>
      </c>
    </row>
    <row r="6391">
      <c r="A6391" t="inlineStr">
        <is>
          <t xml:space="preserve">child </t>
        </is>
      </c>
      <c r="B6391">
        <f>VLOOKUP(2439,Requirements!A2:B2967,2,FALSE)</f>
        <v/>
      </c>
    </row>
    <row r="6392">
      <c r="A6392" t="inlineStr">
        <is>
          <t xml:space="preserve">child </t>
        </is>
      </c>
      <c r="B6392">
        <f>VLOOKUP(2464,Requirements!A2:B2967,2,FALSE)</f>
        <v/>
      </c>
    </row>
    <row r="6393">
      <c r="A6393" t="inlineStr">
        <is>
          <t xml:space="preserve">child </t>
        </is>
      </c>
      <c r="B6393">
        <f>VLOOKUP(2484,Requirements!A2:B2967,2,FALSE)</f>
        <v/>
      </c>
    </row>
    <row r="6394">
      <c r="A6394" t="inlineStr">
        <is>
          <t xml:space="preserve">child </t>
        </is>
      </c>
      <c r="B6394">
        <f>VLOOKUP(2579,Requirements!A2:B2967,2,FALSE)</f>
        <v/>
      </c>
    </row>
    <row r="6395">
      <c r="A6395" t="inlineStr">
        <is>
          <t xml:space="preserve">child </t>
        </is>
      </c>
      <c r="B6395">
        <f>VLOOKUP(2583,Requirements!A2:B2967,2,FALSE)</f>
        <v/>
      </c>
    </row>
    <row r="6396">
      <c r="A6396" t="inlineStr">
        <is>
          <t xml:space="preserve">child </t>
        </is>
      </c>
      <c r="B6396">
        <f>VLOOKUP(2606,Requirements!A2:B2967,2,FALSE)</f>
        <v/>
      </c>
    </row>
    <row r="6397">
      <c r="A6397" t="inlineStr">
        <is>
          <t xml:space="preserve">child </t>
        </is>
      </c>
      <c r="B6397">
        <f>VLOOKUP(2609,Requirements!A2:B2967,2,FALSE)</f>
        <v/>
      </c>
    </row>
    <row r="6398">
      <c r="A6398" t="inlineStr">
        <is>
          <t xml:space="preserve">child </t>
        </is>
      </c>
      <c r="B6398">
        <f>VLOOKUP(2611,Requirements!A2:B2967,2,FALSE)</f>
        <v/>
      </c>
    </row>
    <row r="6399">
      <c r="A6399" t="inlineStr">
        <is>
          <t xml:space="preserve">child </t>
        </is>
      </c>
      <c r="B6399">
        <f>VLOOKUP(2614,Requirements!A2:B2967,2,FALSE)</f>
        <v/>
      </c>
    </row>
    <row r="6400">
      <c r="A6400" t="inlineStr">
        <is>
          <t xml:space="preserve">child </t>
        </is>
      </c>
      <c r="B6400">
        <f>VLOOKUP(2622,Requirements!A2:B2967,2,FALSE)</f>
        <v/>
      </c>
    </row>
    <row r="6401">
      <c r="A6401" t="inlineStr">
        <is>
          <t xml:space="preserve">child </t>
        </is>
      </c>
      <c r="B6401">
        <f>VLOOKUP(2624,Requirements!A2:B2967,2,FALSE)</f>
        <v/>
      </c>
    </row>
    <row r="6402">
      <c r="A6402" t="inlineStr">
        <is>
          <t xml:space="preserve">child </t>
        </is>
      </c>
      <c r="B6402">
        <f>VLOOKUP(2630,Requirements!A2:B2967,2,FALSE)</f>
        <v/>
      </c>
    </row>
    <row r="6403">
      <c r="A6403" t="inlineStr">
        <is>
          <t xml:space="preserve">child </t>
        </is>
      </c>
      <c r="B6403">
        <f>VLOOKUP(2633,Requirements!A2:B2967,2,FALSE)</f>
        <v/>
      </c>
    </row>
    <row r="6404">
      <c r="A6404" t="inlineStr">
        <is>
          <t xml:space="preserve">child </t>
        </is>
      </c>
      <c r="B6404">
        <f>VLOOKUP(2653,Requirements!A2:B2967,2,FALSE)</f>
        <v/>
      </c>
    </row>
    <row r="6405">
      <c r="A6405" t="inlineStr">
        <is>
          <t xml:space="preserve">child </t>
        </is>
      </c>
      <c r="B6405">
        <f>VLOOKUP(2655,Requirements!A2:B2967,2,FALSE)</f>
        <v/>
      </c>
    </row>
    <row r="6406">
      <c r="A6406" t="inlineStr">
        <is>
          <t xml:space="preserve">child </t>
        </is>
      </c>
      <c r="B6406">
        <f>VLOOKUP(2658,Requirements!A2:B2967,2,FALSE)</f>
        <v/>
      </c>
    </row>
    <row r="6407">
      <c r="A6407" t="inlineStr">
        <is>
          <t xml:space="preserve">child </t>
        </is>
      </c>
      <c r="B6407">
        <f>VLOOKUP(2665,Requirements!A2:B2967,2,FALSE)</f>
        <v/>
      </c>
    </row>
    <row r="6408">
      <c r="A6408" t="inlineStr">
        <is>
          <t xml:space="preserve">child </t>
        </is>
      </c>
      <c r="B6408">
        <f>VLOOKUP(2722,Requirements!A2:B2967,2,FALSE)</f>
        <v/>
      </c>
    </row>
    <row r="6409">
      <c r="A6409" t="inlineStr">
        <is>
          <t xml:space="preserve">child </t>
        </is>
      </c>
      <c r="B6409">
        <f>VLOOKUP(2770,Requirements!A2:B2967,2,FALSE)</f>
        <v/>
      </c>
    </row>
    <row r="6410">
      <c r="A6410" t="inlineStr">
        <is>
          <t xml:space="preserve">child </t>
        </is>
      </c>
      <c r="B6410">
        <f>VLOOKUP(2809,Requirements!A2:B2967,2,FALSE)</f>
        <v/>
      </c>
    </row>
    <row r="6411">
      <c r="A6411" t="inlineStr">
        <is>
          <t xml:space="preserve">child </t>
        </is>
      </c>
      <c r="B6411">
        <f>VLOOKUP(2842,Requirements!A2:B2967,2,FALSE)</f>
        <v/>
      </c>
    </row>
    <row r="6412">
      <c r="A6412" t="inlineStr">
        <is>
          <t xml:space="preserve">child </t>
        </is>
      </c>
      <c r="B6412">
        <f>VLOOKUP(2848,Requirements!A2:B2967,2,FALSE)</f>
        <v/>
      </c>
    </row>
    <row r="6413">
      <c r="A6413" t="inlineStr">
        <is>
          <t xml:space="preserve">child </t>
        </is>
      </c>
      <c r="B6413">
        <f>VLOOKUP(2856,Requirements!A2:B2967,2,FALSE)</f>
        <v/>
      </c>
    </row>
    <row r="6414">
      <c r="A6414" t="inlineStr">
        <is>
          <t xml:space="preserve">child </t>
        </is>
      </c>
      <c r="B6414">
        <f>VLOOKUP(2858,Requirements!A2:B2967,2,FALSE)</f>
        <v/>
      </c>
    </row>
    <row r="6415">
      <c r="A6415" t="inlineStr">
        <is>
          <t xml:space="preserve">child </t>
        </is>
      </c>
      <c r="B6415">
        <f>VLOOKUP(2872,Requirements!A2:B2967,2,FALSE)</f>
        <v/>
      </c>
    </row>
    <row r="6416">
      <c r="A6416" t="inlineStr">
        <is>
          <t xml:space="preserve">child </t>
        </is>
      </c>
      <c r="B6416">
        <f>VLOOKUP(2879,Requirements!A2:B2967,2,FALSE)</f>
        <v/>
      </c>
    </row>
    <row r="6417">
      <c r="A6417" t="inlineStr">
        <is>
          <t xml:space="preserve">child </t>
        </is>
      </c>
      <c r="B6417">
        <f>VLOOKUP(2880,Requirements!A2:B2967,2,FALSE)</f>
        <v/>
      </c>
    </row>
    <row r="6418">
      <c r="A6418" t="inlineStr">
        <is>
          <t xml:space="preserve">child </t>
        </is>
      </c>
      <c r="B6418">
        <f>VLOOKUP(2884,Requirements!A2:B2967,2,FALSE)</f>
        <v/>
      </c>
    </row>
    <row r="6419">
      <c r="A6419" t="inlineStr">
        <is>
          <t xml:space="preserve">child </t>
        </is>
      </c>
      <c r="B6419">
        <f>VLOOKUP(2892,Requirements!A2:B2967,2,FALSE)</f>
        <v/>
      </c>
    </row>
    <row r="6420">
      <c r="A6420" t="inlineStr">
        <is>
          <t xml:space="preserve">child </t>
        </is>
      </c>
      <c r="B6420">
        <f>VLOOKUP(2907,Requirements!A2:B2967,2,FALSE)</f>
        <v/>
      </c>
    </row>
    <row r="6421">
      <c r="A6421" t="inlineStr">
        <is>
          <t xml:space="preserve">child </t>
        </is>
      </c>
      <c r="B6421">
        <f>VLOOKUP(2917,Requirements!A2:B2967,2,FALSE)</f>
        <v/>
      </c>
    </row>
    <row r="6422">
      <c r="A6422" t="inlineStr">
        <is>
          <t xml:space="preserve">child </t>
        </is>
      </c>
      <c r="B6422">
        <f>VLOOKUP(2922,Requirements!A2:B2967,2,FALSE)</f>
        <v/>
      </c>
    </row>
    <row r="6423">
      <c r="A6423" t="inlineStr">
        <is>
          <t xml:space="preserve">child </t>
        </is>
      </c>
      <c r="B6423">
        <f>VLOOKUP(2946,Requirements!A2:B2967,2,FALSE)</f>
        <v/>
      </c>
    </row>
    <row r="6424">
      <c r="A6424" t="inlineStr">
        <is>
          <t xml:space="preserve">child </t>
        </is>
      </c>
      <c r="B6424">
        <f>VLOOKUP(2952,Requirements!A2:B2967,2,FALSE)</f>
        <v/>
      </c>
    </row>
    <row r="6425">
      <c r="A6425" t="inlineStr">
        <is>
          <t xml:space="preserve">child </t>
        </is>
      </c>
      <c r="B6425">
        <f>VLOOKUP(2958,Requirements!A2:B2967,2,FALSE)</f>
        <v/>
      </c>
    </row>
    <row r="6426">
      <c r="A6426" t="inlineStr">
        <is>
          <t xml:space="preserve">child </t>
        </is>
      </c>
      <c r="B6426">
        <f>VLOOKUP(2965,Requirements!A2:B2967,2,FALSE)</f>
        <v/>
      </c>
    </row>
    <row r="6427">
      <c r="A6427" t="inlineStr">
        <is>
          <t xml:space="preserve">child </t>
        </is>
      </c>
      <c r="B6427">
        <f>VLOOKUP(2984,Requirements!A2:B2967,2,FALSE)</f>
        <v/>
      </c>
    </row>
    <row r="6428">
      <c r="A6428" t="inlineStr">
        <is>
          <t xml:space="preserve">child </t>
        </is>
      </c>
      <c r="B6428">
        <f>VLOOKUP(3011,Requirements!A2:B2967,2,FALSE)</f>
        <v/>
      </c>
    </row>
    <row r="6429">
      <c r="A6429" t="inlineStr">
        <is>
          <t xml:space="preserve">child </t>
        </is>
      </c>
      <c r="B6429">
        <f>VLOOKUP(3048,Requirements!A2:B2967,2,FALSE)</f>
        <v/>
      </c>
    </row>
    <row r="6430">
      <c r="A6430" t="inlineStr">
        <is>
          <t xml:space="preserve">child </t>
        </is>
      </c>
      <c r="B6430">
        <f>VLOOKUP(3081,Requirements!A2:B2967,2,FALSE)</f>
        <v/>
      </c>
    </row>
    <row r="6431">
      <c r="A6431" t="inlineStr">
        <is>
          <t xml:space="preserve">child </t>
        </is>
      </c>
      <c r="B6431">
        <f>VLOOKUP(3123,Requirements!A2:B2967,2,FALSE)</f>
        <v/>
      </c>
    </row>
    <row r="6432">
      <c r="A6432" t="inlineStr">
        <is>
          <t xml:space="preserve">child </t>
        </is>
      </c>
      <c r="B6432">
        <f>VLOOKUP(3152,Requirements!A2:B2967,2,FALSE)</f>
        <v/>
      </c>
    </row>
    <row r="6433">
      <c r="A6433" t="inlineStr">
        <is>
          <t xml:space="preserve">child </t>
        </is>
      </c>
      <c r="B6433">
        <f>VLOOKUP(3166,Requirements!A2:B2967,2,FALSE)</f>
        <v/>
      </c>
    </row>
    <row r="6434">
      <c r="A6434" t="inlineStr">
        <is>
          <t xml:space="preserve">child </t>
        </is>
      </c>
      <c r="B6434">
        <f>VLOOKUP(3185,Requirements!A2:B2967,2,FALSE)</f>
        <v/>
      </c>
    </row>
    <row r="6435">
      <c r="A6435" t="inlineStr">
        <is>
          <t xml:space="preserve">child </t>
        </is>
      </c>
      <c r="B6435">
        <f>VLOOKUP(3225,Requirements!A2:B2967,2,FALSE)</f>
        <v/>
      </c>
    </row>
    <row r="6436">
      <c r="A6436" t="inlineStr">
        <is>
          <t xml:space="preserve">child </t>
        </is>
      </c>
      <c r="B6436">
        <f>VLOOKUP(3236,Requirements!A2:B2967,2,FALSE)</f>
        <v/>
      </c>
    </row>
    <row r="6437">
      <c r="A6437" t="inlineStr">
        <is>
          <t xml:space="preserve">child </t>
        </is>
      </c>
      <c r="B6437">
        <f>VLOOKUP(3241,Requirements!A2:B2967,2,FALSE)</f>
        <v/>
      </c>
    </row>
    <row r="6438">
      <c r="A6438" t="inlineStr">
        <is>
          <t xml:space="preserve">child </t>
        </is>
      </c>
      <c r="B6438">
        <f>VLOOKUP(3243,Requirements!A2:B2967,2,FALSE)</f>
        <v/>
      </c>
    </row>
    <row r="6439">
      <c r="A6439" t="inlineStr">
        <is>
          <t xml:space="preserve">child </t>
        </is>
      </c>
      <c r="B6439">
        <f>VLOOKUP(3252,Requirements!A2:B2967,2,FALSE)</f>
        <v/>
      </c>
    </row>
    <row r="6440">
      <c r="A6440" t="inlineStr">
        <is>
          <t xml:space="preserve">child </t>
        </is>
      </c>
      <c r="B6440">
        <f>VLOOKUP(3254,Requirements!A2:B2967,2,FALSE)</f>
        <v/>
      </c>
    </row>
    <row r="6441">
      <c r="A6441" t="inlineStr">
        <is>
          <t xml:space="preserve">child </t>
        </is>
      </c>
      <c r="B6441">
        <f>VLOOKUP(3258,Requirements!A2:B2967,2,FALSE)</f>
        <v/>
      </c>
    </row>
    <row r="6442">
      <c r="A6442" t="inlineStr">
        <is>
          <t xml:space="preserve">child </t>
        </is>
      </c>
      <c r="B6442">
        <f>VLOOKUP(3273,Requirements!A2:B2967,2,FALSE)</f>
        <v/>
      </c>
    </row>
    <row r="6443">
      <c r="A6443" t="inlineStr">
        <is>
          <t xml:space="preserve">place </t>
        </is>
      </c>
      <c r="B6443">
        <f>VLOOKUP(54,Requirements!A2:B2967,2,FALSE)</f>
        <v/>
      </c>
    </row>
    <row r="6444">
      <c r="A6444" t="inlineStr">
        <is>
          <t xml:space="preserve">place </t>
        </is>
      </c>
      <c r="B6444">
        <f>VLOOKUP(95,Requirements!A2:B2967,2,FALSE)</f>
        <v/>
      </c>
    </row>
    <row r="6445">
      <c r="A6445" t="inlineStr">
        <is>
          <t xml:space="preserve">place </t>
        </is>
      </c>
      <c r="B6445">
        <f>VLOOKUP(162,Requirements!A2:B2967,2,FALSE)</f>
        <v/>
      </c>
    </row>
    <row r="6446">
      <c r="A6446" t="inlineStr">
        <is>
          <t xml:space="preserve">place </t>
        </is>
      </c>
      <c r="B6446">
        <f>VLOOKUP(269,Requirements!A2:B2967,2,FALSE)</f>
        <v/>
      </c>
    </row>
    <row r="6447">
      <c r="A6447" t="inlineStr">
        <is>
          <t xml:space="preserve">place </t>
        </is>
      </c>
      <c r="B6447">
        <f>VLOOKUP(298,Requirements!A2:B2967,2,FALSE)</f>
        <v/>
      </c>
    </row>
    <row r="6448">
      <c r="A6448" t="inlineStr">
        <is>
          <t xml:space="preserve">place </t>
        </is>
      </c>
      <c r="B6448">
        <f>VLOOKUP(360,Requirements!A2:B2967,2,FALSE)</f>
        <v/>
      </c>
    </row>
    <row r="6449">
      <c r="A6449" t="inlineStr">
        <is>
          <t xml:space="preserve">place </t>
        </is>
      </c>
      <c r="B6449">
        <f>VLOOKUP(550,Requirements!A2:B2967,2,FALSE)</f>
        <v/>
      </c>
    </row>
    <row r="6450">
      <c r="A6450" t="inlineStr">
        <is>
          <t xml:space="preserve">place </t>
        </is>
      </c>
      <c r="B6450">
        <f>VLOOKUP(682,Requirements!A2:B2967,2,FALSE)</f>
        <v/>
      </c>
    </row>
    <row r="6451">
      <c r="A6451" t="inlineStr">
        <is>
          <t xml:space="preserve">place </t>
        </is>
      </c>
      <c r="B6451">
        <f>VLOOKUP(1590,Requirements!A2:B2967,2,FALSE)</f>
        <v/>
      </c>
    </row>
    <row r="6452">
      <c r="A6452" t="inlineStr">
        <is>
          <t xml:space="preserve">place </t>
        </is>
      </c>
      <c r="B6452">
        <f>VLOOKUP(1620,Requirements!A2:B2967,2,FALSE)</f>
        <v/>
      </c>
    </row>
    <row r="6453">
      <c r="A6453" t="inlineStr">
        <is>
          <t xml:space="preserve">place </t>
        </is>
      </c>
      <c r="B6453">
        <f>VLOOKUP(1865,Requirements!A2:B2967,2,FALSE)</f>
        <v/>
      </c>
    </row>
    <row r="6454">
      <c r="A6454" t="inlineStr">
        <is>
          <t xml:space="preserve">place </t>
        </is>
      </c>
      <c r="B6454">
        <f>VLOOKUP(2164,Requirements!A2:B2967,2,FALSE)</f>
        <v/>
      </c>
    </row>
    <row r="6455">
      <c r="A6455" t="inlineStr">
        <is>
          <t xml:space="preserve">place </t>
        </is>
      </c>
      <c r="B6455">
        <f>VLOOKUP(2260,Requirements!A2:B2967,2,FALSE)</f>
        <v/>
      </c>
    </row>
    <row r="6456">
      <c r="A6456" t="inlineStr">
        <is>
          <t xml:space="preserve">place </t>
        </is>
      </c>
      <c r="B6456">
        <f>VLOOKUP(2269,Requirements!A2:B2967,2,FALSE)</f>
        <v/>
      </c>
    </row>
    <row r="6457">
      <c r="A6457" t="inlineStr">
        <is>
          <t xml:space="preserve">place </t>
        </is>
      </c>
      <c r="B6457">
        <f>VLOOKUP(2439,Requirements!A2:B2967,2,FALSE)</f>
        <v/>
      </c>
    </row>
    <row r="6458">
      <c r="A6458" t="inlineStr">
        <is>
          <t xml:space="preserve">place </t>
        </is>
      </c>
      <c r="B6458">
        <f>VLOOKUP(2777,Requirements!A2:B2967,2,FALSE)</f>
        <v/>
      </c>
    </row>
    <row r="6459">
      <c r="A6459" t="inlineStr">
        <is>
          <t xml:space="preserve">place </t>
        </is>
      </c>
      <c r="B6459">
        <f>VLOOKUP(2816,Requirements!A2:B2967,2,FALSE)</f>
        <v/>
      </c>
    </row>
    <row r="6460">
      <c r="A6460" t="inlineStr">
        <is>
          <t xml:space="preserve">place </t>
        </is>
      </c>
      <c r="B6460">
        <f>VLOOKUP(2991,Requirements!A2:B2967,2,FALSE)</f>
        <v/>
      </c>
    </row>
    <row r="6461">
      <c r="A6461" t="inlineStr">
        <is>
          <t xml:space="preserve">place </t>
        </is>
      </c>
      <c r="B6461">
        <f>VLOOKUP(3166,Requirements!A2:B2967,2,FALSE)</f>
        <v/>
      </c>
    </row>
    <row r="6462">
      <c r="A6462" t="inlineStr">
        <is>
          <t xml:space="preserve">place </t>
        </is>
      </c>
      <c r="B6462">
        <f>VLOOKUP(3205,Requirements!A2:B2967,2,FALSE)</f>
        <v/>
      </c>
    </row>
    <row r="6463">
      <c r="A6463" t="inlineStr">
        <is>
          <t xml:space="preserve">potential </t>
        </is>
      </c>
      <c r="B6463">
        <f>VLOOKUP(55,Requirements!A2:B2967,2,FALSE)</f>
        <v/>
      </c>
    </row>
    <row r="6464">
      <c r="A6464" t="inlineStr">
        <is>
          <t xml:space="preserve">potential </t>
        </is>
      </c>
      <c r="B6464">
        <f>VLOOKUP(365,Requirements!A2:B2967,2,FALSE)</f>
        <v/>
      </c>
    </row>
    <row r="6465">
      <c r="A6465" t="inlineStr">
        <is>
          <t xml:space="preserve">potential </t>
        </is>
      </c>
      <c r="B6465">
        <f>VLOOKUP(490,Requirements!A2:B2967,2,FALSE)</f>
        <v/>
      </c>
    </row>
    <row r="6466">
      <c r="A6466" t="inlineStr">
        <is>
          <t xml:space="preserve">potential </t>
        </is>
      </c>
      <c r="B6466">
        <f>VLOOKUP(557,Requirements!A2:B2967,2,FALSE)</f>
        <v/>
      </c>
    </row>
    <row r="6467">
      <c r="A6467" t="inlineStr">
        <is>
          <t xml:space="preserve">potential </t>
        </is>
      </c>
      <c r="B6467">
        <f>VLOOKUP(1664,Requirements!A2:B2967,2,FALSE)</f>
        <v/>
      </c>
    </row>
    <row r="6468">
      <c r="A6468" t="inlineStr">
        <is>
          <t xml:space="preserve">potential </t>
        </is>
      </c>
      <c r="B6468">
        <f>VLOOKUP(2590,Requirements!A2:B2967,2,FALSE)</f>
        <v/>
      </c>
    </row>
    <row r="6469">
      <c r="A6469" t="inlineStr">
        <is>
          <t xml:space="preserve">potential </t>
        </is>
      </c>
      <c r="B6469">
        <f>VLOOKUP(2909,Requirements!A2:B2967,2,FALSE)</f>
        <v/>
      </c>
    </row>
    <row r="6470">
      <c r="A6470" t="inlineStr">
        <is>
          <t xml:space="preserve">appliance </t>
        </is>
      </c>
      <c r="B6470">
        <f>VLOOKUP(59,Requirements!A2:B2967,2,FALSE)</f>
        <v/>
      </c>
    </row>
    <row r="6471">
      <c r="A6471" t="inlineStr">
        <is>
          <t xml:space="preserve">appliance </t>
        </is>
      </c>
      <c r="B6471">
        <f>VLOOKUP(266,Requirements!A2:B2967,2,FALSE)</f>
        <v/>
      </c>
    </row>
    <row r="6472">
      <c r="A6472" t="inlineStr">
        <is>
          <t xml:space="preserve">appliance </t>
        </is>
      </c>
      <c r="B6472">
        <f>VLOOKUP(285,Requirements!A2:B2967,2,FALSE)</f>
        <v/>
      </c>
    </row>
    <row r="6473">
      <c r="A6473" t="inlineStr">
        <is>
          <t xml:space="preserve">appliance </t>
        </is>
      </c>
      <c r="B6473">
        <f>VLOOKUP(326,Requirements!A2:B2967,2,FALSE)</f>
        <v/>
      </c>
    </row>
    <row r="6474">
      <c r="A6474" t="inlineStr">
        <is>
          <t xml:space="preserve">appliance </t>
        </is>
      </c>
      <c r="B6474">
        <f>VLOOKUP(409,Requirements!A2:B2967,2,FALSE)</f>
        <v/>
      </c>
    </row>
    <row r="6475">
      <c r="A6475" t="inlineStr">
        <is>
          <t xml:space="preserve">appliance </t>
        </is>
      </c>
      <c r="B6475">
        <f>VLOOKUP(437,Requirements!A2:B2967,2,FALSE)</f>
        <v/>
      </c>
    </row>
    <row r="6476">
      <c r="A6476" t="inlineStr">
        <is>
          <t xml:space="preserve">appliance </t>
        </is>
      </c>
      <c r="B6476">
        <f>VLOOKUP(461,Requirements!A2:B2967,2,FALSE)</f>
        <v/>
      </c>
    </row>
    <row r="6477">
      <c r="A6477" t="inlineStr">
        <is>
          <t xml:space="preserve">appliance </t>
        </is>
      </c>
      <c r="B6477">
        <f>VLOOKUP(462,Requirements!A2:B2967,2,FALSE)</f>
        <v/>
      </c>
    </row>
    <row r="6478">
      <c r="A6478" t="inlineStr">
        <is>
          <t xml:space="preserve">appliance </t>
        </is>
      </c>
      <c r="B6478">
        <f>VLOOKUP(504,Requirements!A2:B2967,2,FALSE)</f>
        <v/>
      </c>
    </row>
    <row r="6479">
      <c r="A6479" t="inlineStr">
        <is>
          <t xml:space="preserve">appliance </t>
        </is>
      </c>
      <c r="B6479">
        <f>VLOOKUP(535,Requirements!A2:B2967,2,FALSE)</f>
        <v/>
      </c>
    </row>
    <row r="6480">
      <c r="A6480" t="inlineStr">
        <is>
          <t xml:space="preserve">appliance </t>
        </is>
      </c>
      <c r="B6480">
        <f>VLOOKUP(538,Requirements!A2:B2967,2,FALSE)</f>
        <v/>
      </c>
    </row>
    <row r="6481">
      <c r="A6481" t="inlineStr">
        <is>
          <t xml:space="preserve">appliance </t>
        </is>
      </c>
      <c r="B6481">
        <f>VLOOKUP(645,Requirements!A2:B2967,2,FALSE)</f>
        <v/>
      </c>
    </row>
    <row r="6482">
      <c r="A6482" t="inlineStr">
        <is>
          <t xml:space="preserve">appliance </t>
        </is>
      </c>
      <c r="B6482">
        <f>VLOOKUP(803,Requirements!A2:B2967,2,FALSE)</f>
        <v/>
      </c>
    </row>
    <row r="6483">
      <c r="A6483" t="inlineStr">
        <is>
          <t xml:space="preserve">appliance </t>
        </is>
      </c>
      <c r="B6483">
        <f>VLOOKUP(1056,Requirements!A2:B2967,2,FALSE)</f>
        <v/>
      </c>
    </row>
    <row r="6484">
      <c r="A6484" t="inlineStr">
        <is>
          <t xml:space="preserve">appliance </t>
        </is>
      </c>
      <c r="B6484">
        <f>VLOOKUP(1139,Requirements!A2:B2967,2,FALSE)</f>
        <v/>
      </c>
    </row>
    <row r="6485">
      <c r="A6485" t="inlineStr">
        <is>
          <t xml:space="preserve">appliance </t>
        </is>
      </c>
      <c r="B6485">
        <f>VLOOKUP(1206,Requirements!A2:B2967,2,FALSE)</f>
        <v/>
      </c>
    </row>
    <row r="6486">
      <c r="A6486" t="inlineStr">
        <is>
          <t xml:space="preserve">appliance </t>
        </is>
      </c>
      <c r="B6486">
        <f>VLOOKUP(1211,Requirements!A2:B2967,2,FALSE)</f>
        <v/>
      </c>
    </row>
    <row r="6487">
      <c r="A6487" t="inlineStr">
        <is>
          <t xml:space="preserve">appliance </t>
        </is>
      </c>
      <c r="B6487">
        <f>VLOOKUP(1296,Requirements!A2:B2967,2,FALSE)</f>
        <v/>
      </c>
    </row>
    <row r="6488">
      <c r="A6488" t="inlineStr">
        <is>
          <t xml:space="preserve">appliance </t>
        </is>
      </c>
      <c r="B6488">
        <f>VLOOKUP(1367,Requirements!A2:B2967,2,FALSE)</f>
        <v/>
      </c>
    </row>
    <row r="6489">
      <c r="A6489" t="inlineStr">
        <is>
          <t xml:space="preserve">appliance </t>
        </is>
      </c>
      <c r="B6489">
        <f>VLOOKUP(1373,Requirements!A2:B2967,2,FALSE)</f>
        <v/>
      </c>
    </row>
    <row r="6490">
      <c r="A6490" t="inlineStr">
        <is>
          <t xml:space="preserve">appliance </t>
        </is>
      </c>
      <c r="B6490">
        <f>VLOOKUP(1420,Requirements!A2:B2967,2,FALSE)</f>
        <v/>
      </c>
    </row>
    <row r="6491">
      <c r="A6491" t="inlineStr">
        <is>
          <t xml:space="preserve">appliance </t>
        </is>
      </c>
      <c r="B6491">
        <f>VLOOKUP(1747,Requirements!A2:B2967,2,FALSE)</f>
        <v/>
      </c>
    </row>
    <row r="6492">
      <c r="A6492" t="inlineStr">
        <is>
          <t xml:space="preserve">appliance </t>
        </is>
      </c>
      <c r="B6492">
        <f>VLOOKUP(1796,Requirements!A2:B2967,2,FALSE)</f>
        <v/>
      </c>
    </row>
    <row r="6493">
      <c r="A6493" t="inlineStr">
        <is>
          <t xml:space="preserve">appliance </t>
        </is>
      </c>
      <c r="B6493">
        <f>VLOOKUP(1819,Requirements!A2:B2967,2,FALSE)</f>
        <v/>
      </c>
    </row>
    <row r="6494">
      <c r="A6494" t="inlineStr">
        <is>
          <t xml:space="preserve">appliance </t>
        </is>
      </c>
      <c r="B6494">
        <f>VLOOKUP(1871,Requirements!A2:B2967,2,FALSE)</f>
        <v/>
      </c>
    </row>
    <row r="6495">
      <c r="A6495" t="inlineStr">
        <is>
          <t xml:space="preserve">appliance </t>
        </is>
      </c>
      <c r="B6495">
        <f>VLOOKUP(1879,Requirements!A2:B2967,2,FALSE)</f>
        <v/>
      </c>
    </row>
    <row r="6496">
      <c r="A6496" t="inlineStr">
        <is>
          <t xml:space="preserve">appliance </t>
        </is>
      </c>
      <c r="B6496">
        <f>VLOOKUP(1896,Requirements!A2:B2967,2,FALSE)</f>
        <v/>
      </c>
    </row>
    <row r="6497">
      <c r="A6497" t="inlineStr">
        <is>
          <t xml:space="preserve">appliance </t>
        </is>
      </c>
      <c r="B6497">
        <f>VLOOKUP(1899,Requirements!A2:B2967,2,FALSE)</f>
        <v/>
      </c>
    </row>
    <row r="6498">
      <c r="A6498" t="inlineStr">
        <is>
          <t xml:space="preserve">appliance </t>
        </is>
      </c>
      <c r="B6498">
        <f>VLOOKUP(1904,Requirements!A2:B2967,2,FALSE)</f>
        <v/>
      </c>
    </row>
    <row r="6499">
      <c r="A6499" t="inlineStr">
        <is>
          <t xml:space="preserve">appliance </t>
        </is>
      </c>
      <c r="B6499">
        <f>VLOOKUP(1921,Requirements!A2:B2967,2,FALSE)</f>
        <v/>
      </c>
    </row>
    <row r="6500">
      <c r="A6500" t="inlineStr">
        <is>
          <t xml:space="preserve">appliance </t>
        </is>
      </c>
      <c r="B6500">
        <f>VLOOKUP(1977,Requirements!A2:B2967,2,FALSE)</f>
        <v/>
      </c>
    </row>
    <row r="6501">
      <c r="A6501" t="inlineStr">
        <is>
          <t xml:space="preserve">appliance </t>
        </is>
      </c>
      <c r="B6501">
        <f>VLOOKUP(2038,Requirements!A2:B2967,2,FALSE)</f>
        <v/>
      </c>
    </row>
    <row r="6502">
      <c r="A6502" t="inlineStr">
        <is>
          <t xml:space="preserve">appliance </t>
        </is>
      </c>
      <c r="B6502">
        <f>VLOOKUP(2095,Requirements!A2:B2967,2,FALSE)</f>
        <v/>
      </c>
    </row>
    <row r="6503">
      <c r="A6503" t="inlineStr">
        <is>
          <t xml:space="preserve">appliance </t>
        </is>
      </c>
      <c r="B6503">
        <f>VLOOKUP(2162,Requirements!A2:B2967,2,FALSE)</f>
        <v/>
      </c>
    </row>
    <row r="6504">
      <c r="A6504" t="inlineStr">
        <is>
          <t xml:space="preserve">appliance </t>
        </is>
      </c>
      <c r="B6504">
        <f>VLOOKUP(2224,Requirements!A2:B2967,2,FALSE)</f>
        <v/>
      </c>
    </row>
    <row r="6505">
      <c r="A6505" t="inlineStr">
        <is>
          <t xml:space="preserve">appliance </t>
        </is>
      </c>
      <c r="B6505">
        <f>VLOOKUP(2246,Requirements!A2:B2967,2,FALSE)</f>
        <v/>
      </c>
    </row>
    <row r="6506">
      <c r="A6506" t="inlineStr">
        <is>
          <t xml:space="preserve">appliance </t>
        </is>
      </c>
      <c r="B6506">
        <f>VLOOKUP(2250,Requirements!A2:B2967,2,FALSE)</f>
        <v/>
      </c>
    </row>
    <row r="6507">
      <c r="A6507" t="inlineStr">
        <is>
          <t xml:space="preserve">appliance </t>
        </is>
      </c>
      <c r="B6507">
        <f>VLOOKUP(2275,Requirements!A2:B2967,2,FALSE)</f>
        <v/>
      </c>
    </row>
    <row r="6508">
      <c r="A6508" t="inlineStr">
        <is>
          <t xml:space="preserve">appliance </t>
        </is>
      </c>
      <c r="B6508">
        <f>VLOOKUP(2393,Requirements!A2:B2967,2,FALSE)</f>
        <v/>
      </c>
    </row>
    <row r="6509">
      <c r="A6509" t="inlineStr">
        <is>
          <t xml:space="preserve">appliance </t>
        </is>
      </c>
      <c r="B6509">
        <f>VLOOKUP(2426,Requirements!A2:B2967,2,FALSE)</f>
        <v/>
      </c>
    </row>
    <row r="6510">
      <c r="A6510" t="inlineStr">
        <is>
          <t xml:space="preserve">appliance </t>
        </is>
      </c>
      <c r="B6510">
        <f>VLOOKUP(2443,Requirements!A2:B2967,2,FALSE)</f>
        <v/>
      </c>
    </row>
    <row r="6511">
      <c r="A6511" t="inlineStr">
        <is>
          <t xml:space="preserve">appliance </t>
        </is>
      </c>
      <c r="B6511">
        <f>VLOOKUP(2534,Requirements!A2:B2967,2,FALSE)</f>
        <v/>
      </c>
    </row>
    <row r="6512">
      <c r="A6512" t="inlineStr">
        <is>
          <t xml:space="preserve">appliance </t>
        </is>
      </c>
      <c r="B6512">
        <f>VLOOKUP(2712,Requirements!A2:B2967,2,FALSE)</f>
        <v/>
      </c>
    </row>
    <row r="6513">
      <c r="A6513" t="inlineStr">
        <is>
          <t xml:space="preserve">appliance </t>
        </is>
      </c>
      <c r="B6513">
        <f>VLOOKUP(2792,Requirements!A2:B2967,2,FALSE)</f>
        <v/>
      </c>
    </row>
    <row r="6514">
      <c r="A6514" t="inlineStr">
        <is>
          <t xml:space="preserve">appliance </t>
        </is>
      </c>
      <c r="B6514">
        <f>VLOOKUP(2951,Requirements!A2:B2967,2,FALSE)</f>
        <v/>
      </c>
    </row>
    <row r="6515">
      <c r="A6515" t="inlineStr">
        <is>
          <t xml:space="preserve">appliance </t>
        </is>
      </c>
      <c r="B6515">
        <f>VLOOKUP(2989,Requirements!A2:B2967,2,FALSE)</f>
        <v/>
      </c>
    </row>
    <row r="6516">
      <c r="A6516" t="inlineStr">
        <is>
          <t xml:space="preserve">appliance </t>
        </is>
      </c>
      <c r="B6516">
        <f>VLOOKUP(3062,Requirements!A2:B2967,2,FALSE)</f>
        <v/>
      </c>
    </row>
    <row r="6517">
      <c r="A6517" t="inlineStr">
        <is>
          <t xml:space="preserve">appliance </t>
        </is>
      </c>
      <c r="B6517">
        <f>VLOOKUP(3074,Requirements!A2:B2967,2,FALSE)</f>
        <v/>
      </c>
    </row>
    <row r="6518">
      <c r="A6518" t="inlineStr">
        <is>
          <t xml:space="preserve">appliance </t>
        </is>
      </c>
      <c r="B6518">
        <f>VLOOKUP(3086,Requirements!A2:B2967,2,FALSE)</f>
        <v/>
      </c>
    </row>
    <row r="6519">
      <c r="A6519" t="inlineStr">
        <is>
          <t xml:space="preserve">appliance </t>
        </is>
      </c>
      <c r="B6519">
        <f>VLOOKUP(3143,Requirements!A2:B2967,2,FALSE)</f>
        <v/>
      </c>
    </row>
    <row r="6520">
      <c r="A6520" t="inlineStr">
        <is>
          <t xml:space="preserve">appliance </t>
        </is>
      </c>
      <c r="B6520">
        <f>VLOOKUP(3160,Requirements!A2:B2967,2,FALSE)</f>
        <v/>
      </c>
    </row>
    <row r="6521">
      <c r="A6521" t="inlineStr">
        <is>
          <t xml:space="preserve">anyone </t>
        </is>
      </c>
      <c r="B6521">
        <f>VLOOKUP(60,Requirements!A2:B2967,2,FALSE)</f>
        <v/>
      </c>
    </row>
    <row r="6522">
      <c r="A6522" t="inlineStr">
        <is>
          <t xml:space="preserve">anyone </t>
        </is>
      </c>
      <c r="B6522">
        <f>VLOOKUP(345,Requirements!A2:B2967,2,FALSE)</f>
        <v/>
      </c>
    </row>
    <row r="6523">
      <c r="A6523" t="inlineStr">
        <is>
          <t xml:space="preserve">anyone </t>
        </is>
      </c>
      <c r="B6523">
        <f>VLOOKUP(646,Requirements!A2:B2967,2,FALSE)</f>
        <v/>
      </c>
    </row>
    <row r="6524">
      <c r="A6524" t="inlineStr">
        <is>
          <t xml:space="preserve">anyone </t>
        </is>
      </c>
      <c r="B6524">
        <f>VLOOKUP(1418,Requirements!A2:B2967,2,FALSE)</f>
        <v/>
      </c>
    </row>
    <row r="6525">
      <c r="A6525" t="inlineStr">
        <is>
          <t xml:space="preserve">anyone </t>
        </is>
      </c>
      <c r="B6525">
        <f>VLOOKUP(1470,Requirements!A2:B2967,2,FALSE)</f>
        <v/>
      </c>
    </row>
    <row r="6526">
      <c r="A6526" t="inlineStr">
        <is>
          <t xml:space="preserve">anyone </t>
        </is>
      </c>
      <c r="B6526">
        <f>VLOOKUP(1579,Requirements!A2:B2967,2,FALSE)</f>
        <v/>
      </c>
    </row>
    <row r="6527">
      <c r="A6527" t="inlineStr">
        <is>
          <t xml:space="preserve">anyone </t>
        </is>
      </c>
      <c r="B6527">
        <f>VLOOKUP(1713,Requirements!A2:B2967,2,FALSE)</f>
        <v/>
      </c>
    </row>
    <row r="6528">
      <c r="A6528" t="inlineStr">
        <is>
          <t xml:space="preserve">anyone </t>
        </is>
      </c>
      <c r="B6528">
        <f>VLOOKUP(1803,Requirements!A2:B2967,2,FALSE)</f>
        <v/>
      </c>
    </row>
    <row r="6529">
      <c r="A6529" t="inlineStr">
        <is>
          <t xml:space="preserve">anyone </t>
        </is>
      </c>
      <c r="B6529">
        <f>VLOOKUP(1854,Requirements!A2:B2967,2,FALSE)</f>
        <v/>
      </c>
    </row>
    <row r="6530">
      <c r="A6530" t="inlineStr">
        <is>
          <t xml:space="preserve">anyone </t>
        </is>
      </c>
      <c r="B6530">
        <f>VLOOKUP(1890,Requirements!A2:B2967,2,FALSE)</f>
        <v/>
      </c>
    </row>
    <row r="6531">
      <c r="A6531" t="inlineStr">
        <is>
          <t xml:space="preserve">anyone </t>
        </is>
      </c>
      <c r="B6531">
        <f>VLOOKUP(2140,Requirements!A2:B2967,2,FALSE)</f>
        <v/>
      </c>
    </row>
    <row r="6532">
      <c r="A6532" t="inlineStr">
        <is>
          <t xml:space="preserve">anyone </t>
        </is>
      </c>
      <c r="B6532">
        <f>VLOOKUP(2429,Requirements!A2:B2967,2,FALSE)</f>
        <v/>
      </c>
    </row>
    <row r="6533">
      <c r="A6533" t="inlineStr">
        <is>
          <t xml:space="preserve">anyone </t>
        </is>
      </c>
      <c r="B6533">
        <f>VLOOKUP(2513,Requirements!A2:B2967,2,FALSE)</f>
        <v/>
      </c>
    </row>
    <row r="6534">
      <c r="A6534" t="inlineStr">
        <is>
          <t xml:space="preserve">anyone </t>
        </is>
      </c>
      <c r="B6534">
        <f>VLOOKUP(2514,Requirements!A2:B2967,2,FALSE)</f>
        <v/>
      </c>
    </row>
    <row r="6535">
      <c r="A6535" t="inlineStr">
        <is>
          <t xml:space="preserve">anyone </t>
        </is>
      </c>
      <c r="B6535">
        <f>VLOOKUP(2696,Requirements!A2:B2967,2,FALSE)</f>
        <v/>
      </c>
    </row>
    <row r="6536">
      <c r="A6536" t="inlineStr">
        <is>
          <t xml:space="preserve">anyone </t>
        </is>
      </c>
      <c r="B6536">
        <f>VLOOKUP(2908,Requirements!A2:B2967,2,FALSE)</f>
        <v/>
      </c>
    </row>
    <row r="6537">
      <c r="A6537" t="inlineStr">
        <is>
          <t xml:space="preserve">anyone </t>
        </is>
      </c>
      <c r="B6537">
        <f>VLOOKUP(3137,Requirements!A2:B2967,2,FALSE)</f>
        <v/>
      </c>
    </row>
    <row r="6538">
      <c r="A6538" t="inlineStr">
        <is>
          <t xml:space="preserve">anyone </t>
        </is>
      </c>
      <c r="B6538">
        <f>VLOOKUP(3149,Requirements!A2:B2967,2,FALSE)</f>
        <v/>
      </c>
    </row>
    <row r="6539">
      <c r="A6539" t="inlineStr">
        <is>
          <t xml:space="preserve">anyone </t>
        </is>
      </c>
      <c r="B6539">
        <f>VLOOKUP(3209,Requirements!A2:B2967,2,FALSE)</f>
        <v/>
      </c>
    </row>
    <row r="6540">
      <c r="A6540" t="inlineStr">
        <is>
          <t xml:space="preserve">person </t>
        </is>
      </c>
      <c r="B6540">
        <f>VLOOKUP(60,Requirements!A2:B2967,2,FALSE)</f>
        <v/>
      </c>
    </row>
    <row r="6541">
      <c r="A6541" t="inlineStr">
        <is>
          <t xml:space="preserve">person </t>
        </is>
      </c>
      <c r="B6541">
        <f>VLOOKUP(68,Requirements!A2:B2967,2,FALSE)</f>
        <v/>
      </c>
    </row>
    <row r="6542">
      <c r="A6542" t="inlineStr">
        <is>
          <t xml:space="preserve">person </t>
        </is>
      </c>
      <c r="B6542">
        <f>VLOOKUP(69,Requirements!A2:B2967,2,FALSE)</f>
        <v/>
      </c>
    </row>
    <row r="6543">
      <c r="A6543" t="inlineStr">
        <is>
          <t xml:space="preserve">person </t>
        </is>
      </c>
      <c r="B6543">
        <f>VLOOKUP(73,Requirements!A2:B2967,2,FALSE)</f>
        <v/>
      </c>
    </row>
    <row r="6544">
      <c r="A6544" t="inlineStr">
        <is>
          <t xml:space="preserve">person </t>
        </is>
      </c>
      <c r="B6544">
        <f>VLOOKUP(82,Requirements!A2:B2967,2,FALSE)</f>
        <v/>
      </c>
    </row>
    <row r="6545">
      <c r="A6545" t="inlineStr">
        <is>
          <t xml:space="preserve">person </t>
        </is>
      </c>
      <c r="B6545">
        <f>VLOOKUP(106,Requirements!A2:B2967,2,FALSE)</f>
        <v/>
      </c>
    </row>
    <row r="6546">
      <c r="A6546" t="inlineStr">
        <is>
          <t xml:space="preserve">person </t>
        </is>
      </c>
      <c r="B6546">
        <f>VLOOKUP(128,Requirements!A2:B2967,2,FALSE)</f>
        <v/>
      </c>
    </row>
    <row r="6547">
      <c r="A6547" t="inlineStr">
        <is>
          <t xml:space="preserve">person </t>
        </is>
      </c>
      <c r="B6547">
        <f>VLOOKUP(141,Requirements!A2:B2967,2,FALSE)</f>
        <v/>
      </c>
    </row>
    <row r="6548">
      <c r="A6548" t="inlineStr">
        <is>
          <t xml:space="preserve">person </t>
        </is>
      </c>
      <c r="B6548">
        <f>VLOOKUP(154,Requirements!A2:B2967,2,FALSE)</f>
        <v/>
      </c>
    </row>
    <row r="6549">
      <c r="A6549" t="inlineStr">
        <is>
          <t xml:space="preserve">person </t>
        </is>
      </c>
      <c r="B6549">
        <f>VLOOKUP(155,Requirements!A2:B2967,2,FALSE)</f>
        <v/>
      </c>
    </row>
    <row r="6550">
      <c r="A6550" t="inlineStr">
        <is>
          <t xml:space="preserve">person </t>
        </is>
      </c>
      <c r="B6550">
        <f>VLOOKUP(165,Requirements!A2:B2967,2,FALSE)</f>
        <v/>
      </c>
    </row>
    <row r="6551">
      <c r="A6551" t="inlineStr">
        <is>
          <t xml:space="preserve">person </t>
        </is>
      </c>
      <c r="B6551">
        <f>VLOOKUP(166,Requirements!A2:B2967,2,FALSE)</f>
        <v/>
      </c>
    </row>
    <row r="6552">
      <c r="A6552" t="inlineStr">
        <is>
          <t xml:space="preserve">person </t>
        </is>
      </c>
      <c r="B6552">
        <f>VLOOKUP(169,Requirements!A2:B2967,2,FALSE)</f>
        <v/>
      </c>
    </row>
    <row r="6553">
      <c r="A6553" t="inlineStr">
        <is>
          <t xml:space="preserve">person </t>
        </is>
      </c>
      <c r="B6553">
        <f>VLOOKUP(173,Requirements!A2:B2967,2,FALSE)</f>
        <v/>
      </c>
    </row>
    <row r="6554">
      <c r="A6554" t="inlineStr">
        <is>
          <t xml:space="preserve">person </t>
        </is>
      </c>
      <c r="B6554">
        <f>VLOOKUP(178,Requirements!A2:B2967,2,FALSE)</f>
        <v/>
      </c>
    </row>
    <row r="6555">
      <c r="A6555" t="inlineStr">
        <is>
          <t xml:space="preserve">person </t>
        </is>
      </c>
      <c r="B6555">
        <f>VLOOKUP(184,Requirements!A2:B2967,2,FALSE)</f>
        <v/>
      </c>
    </row>
    <row r="6556">
      <c r="A6556" t="inlineStr">
        <is>
          <t xml:space="preserve">person </t>
        </is>
      </c>
      <c r="B6556">
        <f>VLOOKUP(201,Requirements!A2:B2967,2,FALSE)</f>
        <v/>
      </c>
    </row>
    <row r="6557">
      <c r="A6557" t="inlineStr">
        <is>
          <t xml:space="preserve">person </t>
        </is>
      </c>
      <c r="B6557">
        <f>VLOOKUP(202,Requirements!A2:B2967,2,FALSE)</f>
        <v/>
      </c>
    </row>
    <row r="6558">
      <c r="A6558" t="inlineStr">
        <is>
          <t xml:space="preserve">person </t>
        </is>
      </c>
      <c r="B6558">
        <f>VLOOKUP(269,Requirements!A2:B2967,2,FALSE)</f>
        <v/>
      </c>
    </row>
    <row r="6559">
      <c r="A6559" t="inlineStr">
        <is>
          <t xml:space="preserve">person </t>
        </is>
      </c>
      <c r="B6559">
        <f>VLOOKUP(272,Requirements!A2:B2967,2,FALSE)</f>
        <v/>
      </c>
    </row>
    <row r="6560">
      <c r="A6560" t="inlineStr">
        <is>
          <t xml:space="preserve">person </t>
        </is>
      </c>
      <c r="B6560">
        <f>VLOOKUP(282,Requirements!A2:B2967,2,FALSE)</f>
        <v/>
      </c>
    </row>
    <row r="6561">
      <c r="A6561" t="inlineStr">
        <is>
          <t xml:space="preserve">person </t>
        </is>
      </c>
      <c r="B6561">
        <f>VLOOKUP(291,Requirements!A2:B2967,2,FALSE)</f>
        <v/>
      </c>
    </row>
    <row r="6562">
      <c r="A6562" t="inlineStr">
        <is>
          <t xml:space="preserve">person </t>
        </is>
      </c>
      <c r="B6562">
        <f>VLOOKUP(348,Requirements!A2:B2967,2,FALSE)</f>
        <v/>
      </c>
    </row>
    <row r="6563">
      <c r="A6563" t="inlineStr">
        <is>
          <t xml:space="preserve">person </t>
        </is>
      </c>
      <c r="B6563">
        <f>VLOOKUP(362,Requirements!A2:B2967,2,FALSE)</f>
        <v/>
      </c>
    </row>
    <row r="6564">
      <c r="A6564" t="inlineStr">
        <is>
          <t xml:space="preserve">person </t>
        </is>
      </c>
      <c r="B6564">
        <f>VLOOKUP(382,Requirements!A2:B2967,2,FALSE)</f>
        <v/>
      </c>
    </row>
    <row r="6565">
      <c r="A6565" t="inlineStr">
        <is>
          <t xml:space="preserve">person </t>
        </is>
      </c>
      <c r="B6565">
        <f>VLOOKUP(398,Requirements!A2:B2967,2,FALSE)</f>
        <v/>
      </c>
    </row>
    <row r="6566">
      <c r="A6566" t="inlineStr">
        <is>
          <t xml:space="preserve">person </t>
        </is>
      </c>
      <c r="B6566">
        <f>VLOOKUP(573,Requirements!A2:B2967,2,FALSE)</f>
        <v/>
      </c>
    </row>
    <row r="6567">
      <c r="A6567" t="inlineStr">
        <is>
          <t xml:space="preserve">person </t>
        </is>
      </c>
      <c r="B6567">
        <f>VLOOKUP(574,Requirements!A2:B2967,2,FALSE)</f>
        <v/>
      </c>
    </row>
    <row r="6568">
      <c r="A6568" t="inlineStr">
        <is>
          <t xml:space="preserve">person </t>
        </is>
      </c>
      <c r="B6568">
        <f>VLOOKUP(575,Requirements!A2:B2967,2,FALSE)</f>
        <v/>
      </c>
    </row>
    <row r="6569">
      <c r="A6569" t="inlineStr">
        <is>
          <t xml:space="preserve">person </t>
        </is>
      </c>
      <c r="B6569">
        <f>VLOOKUP(576,Requirements!A2:B2967,2,FALSE)</f>
        <v/>
      </c>
    </row>
    <row r="6570">
      <c r="A6570" t="inlineStr">
        <is>
          <t xml:space="preserve">person </t>
        </is>
      </c>
      <c r="B6570">
        <f>VLOOKUP(577,Requirements!A2:B2967,2,FALSE)</f>
        <v/>
      </c>
    </row>
    <row r="6571">
      <c r="A6571" t="inlineStr">
        <is>
          <t xml:space="preserve">person </t>
        </is>
      </c>
      <c r="B6571">
        <f>VLOOKUP(578,Requirements!A2:B2967,2,FALSE)</f>
        <v/>
      </c>
    </row>
    <row r="6572">
      <c r="A6572" t="inlineStr">
        <is>
          <t xml:space="preserve">person </t>
        </is>
      </c>
      <c r="B6572">
        <f>VLOOKUP(579,Requirements!A2:B2967,2,FALSE)</f>
        <v/>
      </c>
    </row>
    <row r="6573">
      <c r="A6573" t="inlineStr">
        <is>
          <t xml:space="preserve">person </t>
        </is>
      </c>
      <c r="B6573">
        <f>VLOOKUP(580,Requirements!A2:B2967,2,FALSE)</f>
        <v/>
      </c>
    </row>
    <row r="6574">
      <c r="A6574" t="inlineStr">
        <is>
          <t xml:space="preserve">person </t>
        </is>
      </c>
      <c r="B6574">
        <f>VLOOKUP(581,Requirements!A2:B2967,2,FALSE)</f>
        <v/>
      </c>
    </row>
    <row r="6575">
      <c r="A6575" t="inlineStr">
        <is>
          <t xml:space="preserve">person </t>
        </is>
      </c>
      <c r="B6575">
        <f>VLOOKUP(582,Requirements!A2:B2967,2,FALSE)</f>
        <v/>
      </c>
    </row>
    <row r="6576">
      <c r="A6576" t="inlineStr">
        <is>
          <t xml:space="preserve">person </t>
        </is>
      </c>
      <c r="B6576">
        <f>VLOOKUP(583,Requirements!A2:B2967,2,FALSE)</f>
        <v/>
      </c>
    </row>
    <row r="6577">
      <c r="A6577" t="inlineStr">
        <is>
          <t xml:space="preserve">person </t>
        </is>
      </c>
      <c r="B6577">
        <f>VLOOKUP(584,Requirements!A2:B2967,2,FALSE)</f>
        <v/>
      </c>
    </row>
    <row r="6578">
      <c r="A6578" t="inlineStr">
        <is>
          <t xml:space="preserve">person </t>
        </is>
      </c>
      <c r="B6578">
        <f>VLOOKUP(585,Requirements!A2:B2967,2,FALSE)</f>
        <v/>
      </c>
    </row>
    <row r="6579">
      <c r="A6579" t="inlineStr">
        <is>
          <t xml:space="preserve">person </t>
        </is>
      </c>
      <c r="B6579">
        <f>VLOOKUP(717,Requirements!A2:B2967,2,FALSE)</f>
        <v/>
      </c>
    </row>
    <row r="6580">
      <c r="A6580" t="inlineStr">
        <is>
          <t xml:space="preserve">person </t>
        </is>
      </c>
      <c r="B6580">
        <f>VLOOKUP(726,Requirements!A2:B2967,2,FALSE)</f>
        <v/>
      </c>
    </row>
    <row r="6581">
      <c r="A6581" t="inlineStr">
        <is>
          <t xml:space="preserve">person </t>
        </is>
      </c>
      <c r="B6581">
        <f>VLOOKUP(752,Requirements!A2:B2967,2,FALSE)</f>
        <v/>
      </c>
    </row>
    <row r="6582">
      <c r="A6582" t="inlineStr">
        <is>
          <t xml:space="preserve">person </t>
        </is>
      </c>
      <c r="B6582">
        <f>VLOOKUP(753,Requirements!A2:B2967,2,FALSE)</f>
        <v/>
      </c>
    </row>
    <row r="6583">
      <c r="A6583" t="inlineStr">
        <is>
          <t xml:space="preserve">person </t>
        </is>
      </c>
      <c r="B6583">
        <f>VLOOKUP(757,Requirements!A2:B2967,2,FALSE)</f>
        <v/>
      </c>
    </row>
    <row r="6584">
      <c r="A6584" t="inlineStr">
        <is>
          <t xml:space="preserve">person </t>
        </is>
      </c>
      <c r="B6584">
        <f>VLOOKUP(758,Requirements!A2:B2967,2,FALSE)</f>
        <v/>
      </c>
    </row>
    <row r="6585">
      <c r="A6585" t="inlineStr">
        <is>
          <t xml:space="preserve">person </t>
        </is>
      </c>
      <c r="B6585">
        <f>VLOOKUP(762,Requirements!A2:B2967,2,FALSE)</f>
        <v/>
      </c>
    </row>
    <row r="6586">
      <c r="A6586" t="inlineStr">
        <is>
          <t xml:space="preserve">person </t>
        </is>
      </c>
      <c r="B6586">
        <f>VLOOKUP(763,Requirements!A2:B2967,2,FALSE)</f>
        <v/>
      </c>
    </row>
    <row r="6587">
      <c r="A6587" t="inlineStr">
        <is>
          <t xml:space="preserve">person </t>
        </is>
      </c>
      <c r="B6587">
        <f>VLOOKUP(765,Requirements!A2:B2967,2,FALSE)</f>
        <v/>
      </c>
    </row>
    <row r="6588">
      <c r="A6588" t="inlineStr">
        <is>
          <t xml:space="preserve">person </t>
        </is>
      </c>
      <c r="B6588">
        <f>VLOOKUP(922,Requirements!A2:B2967,2,FALSE)</f>
        <v/>
      </c>
    </row>
    <row r="6589">
      <c r="A6589" t="inlineStr">
        <is>
          <t xml:space="preserve">person </t>
        </is>
      </c>
      <c r="B6589">
        <f>VLOOKUP(923,Requirements!A2:B2967,2,FALSE)</f>
        <v/>
      </c>
    </row>
    <row r="6590">
      <c r="A6590" t="inlineStr">
        <is>
          <t xml:space="preserve">person </t>
        </is>
      </c>
      <c r="B6590">
        <f>VLOOKUP(947,Requirements!A2:B2967,2,FALSE)</f>
        <v/>
      </c>
    </row>
    <row r="6591">
      <c r="A6591" t="inlineStr">
        <is>
          <t xml:space="preserve">person </t>
        </is>
      </c>
      <c r="B6591">
        <f>VLOOKUP(982,Requirements!A2:B2967,2,FALSE)</f>
        <v/>
      </c>
    </row>
    <row r="6592">
      <c r="A6592" t="inlineStr">
        <is>
          <t xml:space="preserve">person </t>
        </is>
      </c>
      <c r="B6592">
        <f>VLOOKUP(1003,Requirements!A2:B2967,2,FALSE)</f>
        <v/>
      </c>
    </row>
    <row r="6593">
      <c r="A6593" t="inlineStr">
        <is>
          <t xml:space="preserve">person </t>
        </is>
      </c>
      <c r="B6593">
        <f>VLOOKUP(1006,Requirements!A2:B2967,2,FALSE)</f>
        <v/>
      </c>
    </row>
    <row r="6594">
      <c r="A6594" t="inlineStr">
        <is>
          <t xml:space="preserve">person </t>
        </is>
      </c>
      <c r="B6594">
        <f>VLOOKUP(1008,Requirements!A2:B2967,2,FALSE)</f>
        <v/>
      </c>
    </row>
    <row r="6595">
      <c r="A6595" t="inlineStr">
        <is>
          <t xml:space="preserve">person </t>
        </is>
      </c>
      <c r="B6595">
        <f>VLOOKUP(1009,Requirements!A2:B2967,2,FALSE)</f>
        <v/>
      </c>
    </row>
    <row r="6596">
      <c r="A6596" t="inlineStr">
        <is>
          <t xml:space="preserve">person </t>
        </is>
      </c>
      <c r="B6596">
        <f>VLOOKUP(1010,Requirements!A2:B2967,2,FALSE)</f>
        <v/>
      </c>
    </row>
    <row r="6597">
      <c r="A6597" t="inlineStr">
        <is>
          <t xml:space="preserve">person </t>
        </is>
      </c>
      <c r="B6597">
        <f>VLOOKUP(1011,Requirements!A2:B2967,2,FALSE)</f>
        <v/>
      </c>
    </row>
    <row r="6598">
      <c r="A6598" t="inlineStr">
        <is>
          <t xml:space="preserve">person </t>
        </is>
      </c>
      <c r="B6598">
        <f>VLOOKUP(1013,Requirements!A2:B2967,2,FALSE)</f>
        <v/>
      </c>
    </row>
    <row r="6599">
      <c r="A6599" t="inlineStr">
        <is>
          <t xml:space="preserve">person </t>
        </is>
      </c>
      <c r="B6599">
        <f>VLOOKUP(1075,Requirements!A2:B2967,2,FALSE)</f>
        <v/>
      </c>
    </row>
    <row r="6600">
      <c r="A6600" t="inlineStr">
        <is>
          <t xml:space="preserve">person </t>
        </is>
      </c>
      <c r="B6600">
        <f>VLOOKUP(1079,Requirements!A2:B2967,2,FALSE)</f>
        <v/>
      </c>
    </row>
    <row r="6601">
      <c r="A6601" t="inlineStr">
        <is>
          <t xml:space="preserve">person </t>
        </is>
      </c>
      <c r="B6601">
        <f>VLOOKUP(1087,Requirements!A2:B2967,2,FALSE)</f>
        <v/>
      </c>
    </row>
    <row r="6602">
      <c r="A6602" t="inlineStr">
        <is>
          <t xml:space="preserve">person </t>
        </is>
      </c>
      <c r="B6602">
        <f>VLOOKUP(1092,Requirements!A2:B2967,2,FALSE)</f>
        <v/>
      </c>
    </row>
    <row r="6603">
      <c r="A6603" t="inlineStr">
        <is>
          <t xml:space="preserve">person </t>
        </is>
      </c>
      <c r="B6603">
        <f>VLOOKUP(1096,Requirements!A2:B2967,2,FALSE)</f>
        <v/>
      </c>
    </row>
    <row r="6604">
      <c r="A6604" t="inlineStr">
        <is>
          <t xml:space="preserve">person </t>
        </is>
      </c>
      <c r="B6604">
        <f>VLOOKUP(1099,Requirements!A2:B2967,2,FALSE)</f>
        <v/>
      </c>
    </row>
    <row r="6605">
      <c r="A6605" t="inlineStr">
        <is>
          <t xml:space="preserve">person </t>
        </is>
      </c>
      <c r="B6605">
        <f>VLOOKUP(1102,Requirements!A2:B2967,2,FALSE)</f>
        <v/>
      </c>
    </row>
    <row r="6606">
      <c r="A6606" t="inlineStr">
        <is>
          <t xml:space="preserve">person </t>
        </is>
      </c>
      <c r="B6606">
        <f>VLOOKUP(1104,Requirements!A2:B2967,2,FALSE)</f>
        <v/>
      </c>
    </row>
    <row r="6607">
      <c r="A6607" t="inlineStr">
        <is>
          <t xml:space="preserve">person </t>
        </is>
      </c>
      <c r="B6607">
        <f>VLOOKUP(1107,Requirements!A2:B2967,2,FALSE)</f>
        <v/>
      </c>
    </row>
    <row r="6608">
      <c r="A6608" t="inlineStr">
        <is>
          <t xml:space="preserve">person </t>
        </is>
      </c>
      <c r="B6608">
        <f>VLOOKUP(1113,Requirements!A2:B2967,2,FALSE)</f>
        <v/>
      </c>
    </row>
    <row r="6609">
      <c r="A6609" t="inlineStr">
        <is>
          <t xml:space="preserve">person </t>
        </is>
      </c>
      <c r="B6609">
        <f>VLOOKUP(1123,Requirements!A2:B2967,2,FALSE)</f>
        <v/>
      </c>
    </row>
    <row r="6610">
      <c r="A6610" t="inlineStr">
        <is>
          <t xml:space="preserve">person </t>
        </is>
      </c>
      <c r="B6610">
        <f>VLOOKUP(1193,Requirements!A2:B2967,2,FALSE)</f>
        <v/>
      </c>
    </row>
    <row r="6611">
      <c r="A6611" t="inlineStr">
        <is>
          <t xml:space="preserve">person </t>
        </is>
      </c>
      <c r="B6611">
        <f>VLOOKUP(1206,Requirements!A2:B2967,2,FALSE)</f>
        <v/>
      </c>
    </row>
    <row r="6612">
      <c r="A6612" t="inlineStr">
        <is>
          <t xml:space="preserve">person </t>
        </is>
      </c>
      <c r="B6612">
        <f>VLOOKUP(1215,Requirements!A2:B2967,2,FALSE)</f>
        <v/>
      </c>
    </row>
    <row r="6613">
      <c r="A6613" t="inlineStr">
        <is>
          <t xml:space="preserve">person </t>
        </is>
      </c>
      <c r="B6613">
        <f>VLOOKUP(1216,Requirements!A2:B2967,2,FALSE)</f>
        <v/>
      </c>
    </row>
    <row r="6614">
      <c r="A6614" t="inlineStr">
        <is>
          <t xml:space="preserve">person </t>
        </is>
      </c>
      <c r="B6614">
        <f>VLOOKUP(1217,Requirements!A2:B2967,2,FALSE)</f>
        <v/>
      </c>
    </row>
    <row r="6615">
      <c r="A6615" t="inlineStr">
        <is>
          <t xml:space="preserve">person </t>
        </is>
      </c>
      <c r="B6615">
        <f>VLOOKUP(1262,Requirements!A2:B2967,2,FALSE)</f>
        <v/>
      </c>
    </row>
    <row r="6616">
      <c r="A6616" t="inlineStr">
        <is>
          <t xml:space="preserve">person </t>
        </is>
      </c>
      <c r="B6616">
        <f>VLOOKUP(1275,Requirements!A2:B2967,2,FALSE)</f>
        <v/>
      </c>
    </row>
    <row r="6617">
      <c r="A6617" t="inlineStr">
        <is>
          <t xml:space="preserve">person </t>
        </is>
      </c>
      <c r="B6617">
        <f>VLOOKUP(1292,Requirements!A2:B2967,2,FALSE)</f>
        <v/>
      </c>
    </row>
    <row r="6618">
      <c r="A6618" t="inlineStr">
        <is>
          <t xml:space="preserve">person </t>
        </is>
      </c>
      <c r="B6618">
        <f>VLOOKUP(1370,Requirements!A2:B2967,2,FALSE)</f>
        <v/>
      </c>
    </row>
    <row r="6619">
      <c r="A6619" t="inlineStr">
        <is>
          <t xml:space="preserve">person </t>
        </is>
      </c>
      <c r="B6619">
        <f>VLOOKUP(1373,Requirements!A2:B2967,2,FALSE)</f>
        <v/>
      </c>
    </row>
    <row r="6620">
      <c r="A6620" t="inlineStr">
        <is>
          <t xml:space="preserve">person </t>
        </is>
      </c>
      <c r="B6620">
        <f>VLOOKUP(1426,Requirements!A2:B2967,2,FALSE)</f>
        <v/>
      </c>
    </row>
    <row r="6621">
      <c r="A6621" t="inlineStr">
        <is>
          <t xml:space="preserve">person </t>
        </is>
      </c>
      <c r="B6621">
        <f>VLOOKUP(1427,Requirements!A2:B2967,2,FALSE)</f>
        <v/>
      </c>
    </row>
    <row r="6622">
      <c r="A6622" t="inlineStr">
        <is>
          <t xml:space="preserve">person </t>
        </is>
      </c>
      <c r="B6622">
        <f>VLOOKUP(1463,Requirements!A2:B2967,2,FALSE)</f>
        <v/>
      </c>
    </row>
    <row r="6623">
      <c r="A6623" t="inlineStr">
        <is>
          <t xml:space="preserve">person </t>
        </is>
      </c>
      <c r="B6623">
        <f>VLOOKUP(1523,Requirements!A2:B2967,2,FALSE)</f>
        <v/>
      </c>
    </row>
    <row r="6624">
      <c r="A6624" t="inlineStr">
        <is>
          <t xml:space="preserve">person </t>
        </is>
      </c>
      <c r="B6624">
        <f>VLOOKUP(1532,Requirements!A2:B2967,2,FALSE)</f>
        <v/>
      </c>
    </row>
    <row r="6625">
      <c r="A6625" t="inlineStr">
        <is>
          <t xml:space="preserve">person </t>
        </is>
      </c>
      <c r="B6625">
        <f>VLOOKUP(1536,Requirements!A2:B2967,2,FALSE)</f>
        <v/>
      </c>
    </row>
    <row r="6626">
      <c r="A6626" t="inlineStr">
        <is>
          <t xml:space="preserve">person </t>
        </is>
      </c>
      <c r="B6626">
        <f>VLOOKUP(1544,Requirements!A2:B2967,2,FALSE)</f>
        <v/>
      </c>
    </row>
    <row r="6627">
      <c r="A6627" t="inlineStr">
        <is>
          <t xml:space="preserve">person </t>
        </is>
      </c>
      <c r="B6627">
        <f>VLOOKUP(1572,Requirements!A2:B2967,2,FALSE)</f>
        <v/>
      </c>
    </row>
    <row r="6628">
      <c r="A6628" t="inlineStr">
        <is>
          <t xml:space="preserve">person </t>
        </is>
      </c>
      <c r="B6628">
        <f>VLOOKUP(1837,Requirements!A2:B2967,2,FALSE)</f>
        <v/>
      </c>
    </row>
    <row r="6629">
      <c r="A6629" t="inlineStr">
        <is>
          <t xml:space="preserve">person </t>
        </is>
      </c>
      <c r="B6629">
        <f>VLOOKUP(1849,Requirements!A2:B2967,2,FALSE)</f>
        <v/>
      </c>
    </row>
    <row r="6630">
      <c r="A6630" t="inlineStr">
        <is>
          <t xml:space="preserve">person </t>
        </is>
      </c>
      <c r="B6630">
        <f>VLOOKUP(1910,Requirements!A2:B2967,2,FALSE)</f>
        <v/>
      </c>
    </row>
    <row r="6631">
      <c r="A6631" t="inlineStr">
        <is>
          <t xml:space="preserve">person </t>
        </is>
      </c>
      <c r="B6631">
        <f>VLOOKUP(1931,Requirements!A2:B2967,2,FALSE)</f>
        <v/>
      </c>
    </row>
    <row r="6632">
      <c r="A6632" t="inlineStr">
        <is>
          <t xml:space="preserve">person </t>
        </is>
      </c>
      <c r="B6632">
        <f>VLOOKUP(1939,Requirements!A2:B2967,2,FALSE)</f>
        <v/>
      </c>
    </row>
    <row r="6633">
      <c r="A6633" t="inlineStr">
        <is>
          <t xml:space="preserve">person </t>
        </is>
      </c>
      <c r="B6633">
        <f>VLOOKUP(1984,Requirements!A2:B2967,2,FALSE)</f>
        <v/>
      </c>
    </row>
    <row r="6634">
      <c r="A6634" t="inlineStr">
        <is>
          <t xml:space="preserve">person </t>
        </is>
      </c>
      <c r="B6634">
        <f>VLOOKUP(1991,Requirements!A2:B2967,2,FALSE)</f>
        <v/>
      </c>
    </row>
    <row r="6635">
      <c r="A6635" t="inlineStr">
        <is>
          <t xml:space="preserve">person </t>
        </is>
      </c>
      <c r="B6635">
        <f>VLOOKUP(1995,Requirements!A2:B2967,2,FALSE)</f>
        <v/>
      </c>
    </row>
    <row r="6636">
      <c r="A6636" t="inlineStr">
        <is>
          <t xml:space="preserve">person </t>
        </is>
      </c>
      <c r="B6636">
        <f>VLOOKUP(2182,Requirements!A2:B2967,2,FALSE)</f>
        <v/>
      </c>
    </row>
    <row r="6637">
      <c r="A6637" t="inlineStr">
        <is>
          <t xml:space="preserve">person </t>
        </is>
      </c>
      <c r="B6637">
        <f>VLOOKUP(2192,Requirements!A2:B2967,2,FALSE)</f>
        <v/>
      </c>
    </row>
    <row r="6638">
      <c r="A6638" t="inlineStr">
        <is>
          <t xml:space="preserve">person </t>
        </is>
      </c>
      <c r="B6638">
        <f>VLOOKUP(2194,Requirements!A2:B2967,2,FALSE)</f>
        <v/>
      </c>
    </row>
    <row r="6639">
      <c r="A6639" t="inlineStr">
        <is>
          <t xml:space="preserve">person </t>
        </is>
      </c>
      <c r="B6639">
        <f>VLOOKUP(2201,Requirements!A2:B2967,2,FALSE)</f>
        <v/>
      </c>
    </row>
    <row r="6640">
      <c r="A6640" t="inlineStr">
        <is>
          <t xml:space="preserve">person </t>
        </is>
      </c>
      <c r="B6640">
        <f>VLOOKUP(2205,Requirements!A2:B2967,2,FALSE)</f>
        <v/>
      </c>
    </row>
    <row r="6641">
      <c r="A6641" t="inlineStr">
        <is>
          <t xml:space="preserve">person </t>
        </is>
      </c>
      <c r="B6641">
        <f>VLOOKUP(2227,Requirements!A2:B2967,2,FALSE)</f>
        <v/>
      </c>
    </row>
    <row r="6642">
      <c r="A6642" t="inlineStr">
        <is>
          <t xml:space="preserve">person </t>
        </is>
      </c>
      <c r="B6642">
        <f>VLOOKUP(2243,Requirements!A2:B2967,2,FALSE)</f>
        <v/>
      </c>
    </row>
    <row r="6643">
      <c r="A6643" t="inlineStr">
        <is>
          <t xml:space="preserve">person </t>
        </is>
      </c>
      <c r="B6643">
        <f>VLOOKUP(2251,Requirements!A2:B2967,2,FALSE)</f>
        <v/>
      </c>
    </row>
    <row r="6644">
      <c r="A6644" t="inlineStr">
        <is>
          <t xml:space="preserve">person </t>
        </is>
      </c>
      <c r="B6644">
        <f>VLOOKUP(2343,Requirements!A2:B2967,2,FALSE)</f>
        <v/>
      </c>
    </row>
    <row r="6645">
      <c r="A6645" t="inlineStr">
        <is>
          <t xml:space="preserve">person </t>
        </is>
      </c>
      <c r="B6645">
        <f>VLOOKUP(2345,Requirements!A2:B2967,2,FALSE)</f>
        <v/>
      </c>
    </row>
    <row r="6646">
      <c r="A6646" t="inlineStr">
        <is>
          <t xml:space="preserve">person </t>
        </is>
      </c>
      <c r="B6646">
        <f>VLOOKUP(2346,Requirements!A2:B2967,2,FALSE)</f>
        <v/>
      </c>
    </row>
    <row r="6647">
      <c r="A6647" t="inlineStr">
        <is>
          <t xml:space="preserve">person </t>
        </is>
      </c>
      <c r="B6647">
        <f>VLOOKUP(2362,Requirements!A2:B2967,2,FALSE)</f>
        <v/>
      </c>
    </row>
    <row r="6648">
      <c r="A6648" t="inlineStr">
        <is>
          <t xml:space="preserve">person </t>
        </is>
      </c>
      <c r="B6648">
        <f>VLOOKUP(2366,Requirements!A2:B2967,2,FALSE)</f>
        <v/>
      </c>
    </row>
    <row r="6649">
      <c r="A6649" t="inlineStr">
        <is>
          <t xml:space="preserve">person </t>
        </is>
      </c>
      <c r="B6649">
        <f>VLOOKUP(2372,Requirements!A2:B2967,2,FALSE)</f>
        <v/>
      </c>
    </row>
    <row r="6650">
      <c r="A6650" t="inlineStr">
        <is>
          <t xml:space="preserve">person </t>
        </is>
      </c>
      <c r="B6650">
        <f>VLOOKUP(2384,Requirements!A2:B2967,2,FALSE)</f>
        <v/>
      </c>
    </row>
    <row r="6651">
      <c r="A6651" t="inlineStr">
        <is>
          <t xml:space="preserve">person </t>
        </is>
      </c>
      <c r="B6651">
        <f>VLOOKUP(2385,Requirements!A2:B2967,2,FALSE)</f>
        <v/>
      </c>
    </row>
    <row r="6652">
      <c r="A6652" t="inlineStr">
        <is>
          <t xml:space="preserve">person </t>
        </is>
      </c>
      <c r="B6652">
        <f>VLOOKUP(2389,Requirements!A2:B2967,2,FALSE)</f>
        <v/>
      </c>
    </row>
    <row r="6653">
      <c r="A6653" t="inlineStr">
        <is>
          <t xml:space="preserve">person </t>
        </is>
      </c>
      <c r="B6653">
        <f>VLOOKUP(2408,Requirements!A2:B2967,2,FALSE)</f>
        <v/>
      </c>
    </row>
    <row r="6654">
      <c r="A6654" t="inlineStr">
        <is>
          <t xml:space="preserve">person </t>
        </is>
      </c>
      <c r="B6654">
        <f>VLOOKUP(2431,Requirements!A2:B2967,2,FALSE)</f>
        <v/>
      </c>
    </row>
    <row r="6655">
      <c r="A6655" t="inlineStr">
        <is>
          <t xml:space="preserve">person </t>
        </is>
      </c>
      <c r="B6655">
        <f>VLOOKUP(2435,Requirements!A2:B2967,2,FALSE)</f>
        <v/>
      </c>
    </row>
    <row r="6656">
      <c r="A6656" t="inlineStr">
        <is>
          <t xml:space="preserve">person </t>
        </is>
      </c>
      <c r="B6656">
        <f>VLOOKUP(2460,Requirements!A2:B2967,2,FALSE)</f>
        <v/>
      </c>
    </row>
    <row r="6657">
      <c r="A6657" t="inlineStr">
        <is>
          <t xml:space="preserve">person </t>
        </is>
      </c>
      <c r="B6657">
        <f>VLOOKUP(2507,Requirements!A2:B2967,2,FALSE)</f>
        <v/>
      </c>
    </row>
    <row r="6658">
      <c r="A6658" t="inlineStr">
        <is>
          <t xml:space="preserve">person </t>
        </is>
      </c>
      <c r="B6658">
        <f>VLOOKUP(2509,Requirements!A2:B2967,2,FALSE)</f>
        <v/>
      </c>
    </row>
    <row r="6659">
      <c r="A6659" t="inlineStr">
        <is>
          <t xml:space="preserve">person </t>
        </is>
      </c>
      <c r="B6659">
        <f>VLOOKUP(2637,Requirements!A2:B2967,2,FALSE)</f>
        <v/>
      </c>
    </row>
    <row r="6660">
      <c r="A6660" t="inlineStr">
        <is>
          <t xml:space="preserve">person </t>
        </is>
      </c>
      <c r="B6660">
        <f>VLOOKUP(2650,Requirements!A2:B2967,2,FALSE)</f>
        <v/>
      </c>
    </row>
    <row r="6661">
      <c r="A6661" t="inlineStr">
        <is>
          <t xml:space="preserve">person </t>
        </is>
      </c>
      <c r="B6661">
        <f>VLOOKUP(2705,Requirements!A2:B2967,2,FALSE)</f>
        <v/>
      </c>
    </row>
    <row r="6662">
      <c r="A6662" t="inlineStr">
        <is>
          <t xml:space="preserve">person </t>
        </is>
      </c>
      <c r="B6662">
        <f>VLOOKUP(2835,Requirements!A2:B2967,2,FALSE)</f>
        <v/>
      </c>
    </row>
    <row r="6663">
      <c r="A6663" t="inlineStr">
        <is>
          <t xml:space="preserve">person </t>
        </is>
      </c>
      <c r="B6663">
        <f>VLOOKUP(2845,Requirements!A2:B2967,2,FALSE)</f>
        <v/>
      </c>
    </row>
    <row r="6664">
      <c r="A6664" t="inlineStr">
        <is>
          <t xml:space="preserve">person </t>
        </is>
      </c>
      <c r="B6664">
        <f>VLOOKUP(2941,Requirements!A2:B2967,2,FALSE)</f>
        <v/>
      </c>
    </row>
    <row r="6665">
      <c r="A6665" t="inlineStr">
        <is>
          <t xml:space="preserve">person </t>
        </is>
      </c>
      <c r="B6665">
        <f>VLOOKUP(2964,Requirements!A2:B2967,2,FALSE)</f>
        <v/>
      </c>
    </row>
    <row r="6666">
      <c r="A6666" t="inlineStr">
        <is>
          <t xml:space="preserve">person </t>
        </is>
      </c>
      <c r="B6666">
        <f>VLOOKUP(3017,Requirements!A2:B2967,2,FALSE)</f>
        <v/>
      </c>
    </row>
    <row r="6667">
      <c r="A6667" t="inlineStr">
        <is>
          <t xml:space="preserve">person </t>
        </is>
      </c>
      <c r="B6667">
        <f>VLOOKUP(3067,Requirements!A2:B2967,2,FALSE)</f>
        <v/>
      </c>
    </row>
    <row r="6668">
      <c r="A6668" t="inlineStr">
        <is>
          <t xml:space="preserve">person </t>
        </is>
      </c>
      <c r="B6668">
        <f>VLOOKUP(3164,Requirements!A2:B2967,2,FALSE)</f>
        <v/>
      </c>
    </row>
    <row r="6669">
      <c r="A6669" t="inlineStr">
        <is>
          <t xml:space="preserve">person </t>
        </is>
      </c>
      <c r="B6669">
        <f>VLOOKUP(3271,Requirements!A2:B2967,2,FALSE)</f>
        <v/>
      </c>
    </row>
    <row r="6670">
      <c r="A6670" t="inlineStr">
        <is>
          <t xml:space="preserve">low </t>
        </is>
      </c>
      <c r="B6670">
        <f>VLOOKUP(61,Requirements!A2:B2967,2,FALSE)</f>
        <v/>
      </c>
    </row>
    <row r="6671">
      <c r="A6671" t="inlineStr">
        <is>
          <t xml:space="preserve">low </t>
        </is>
      </c>
      <c r="B6671">
        <f>VLOOKUP(286,Requirements!A2:B2967,2,FALSE)</f>
        <v/>
      </c>
    </row>
    <row r="6672">
      <c r="A6672" t="inlineStr">
        <is>
          <t xml:space="preserve">low </t>
        </is>
      </c>
      <c r="B6672">
        <f>VLOOKUP(315,Requirements!A2:B2967,2,FALSE)</f>
        <v/>
      </c>
    </row>
    <row r="6673">
      <c r="A6673" t="inlineStr">
        <is>
          <t xml:space="preserve">low </t>
        </is>
      </c>
      <c r="B6673">
        <f>VLOOKUP(524,Requirements!A2:B2967,2,FALSE)</f>
        <v/>
      </c>
    </row>
    <row r="6674">
      <c r="A6674" t="inlineStr">
        <is>
          <t xml:space="preserve">low </t>
        </is>
      </c>
      <c r="B6674">
        <f>VLOOKUP(700,Requirements!A2:B2967,2,FALSE)</f>
        <v/>
      </c>
    </row>
    <row r="6675">
      <c r="A6675" t="inlineStr">
        <is>
          <t xml:space="preserve">low </t>
        </is>
      </c>
      <c r="B6675">
        <f>VLOOKUP(760,Requirements!A2:B2967,2,FALSE)</f>
        <v/>
      </c>
    </row>
    <row r="6676">
      <c r="A6676" t="inlineStr">
        <is>
          <t xml:space="preserve">low </t>
        </is>
      </c>
      <c r="B6676">
        <f>VLOOKUP(779,Requirements!A2:B2967,2,FALSE)</f>
        <v/>
      </c>
    </row>
    <row r="6677">
      <c r="A6677" t="inlineStr">
        <is>
          <t xml:space="preserve">low </t>
        </is>
      </c>
      <c r="B6677">
        <f>VLOOKUP(792,Requirements!A2:B2967,2,FALSE)</f>
        <v/>
      </c>
    </row>
    <row r="6678">
      <c r="A6678" t="inlineStr">
        <is>
          <t xml:space="preserve">low </t>
        </is>
      </c>
      <c r="B6678">
        <f>VLOOKUP(893,Requirements!A2:B2967,2,FALSE)</f>
        <v/>
      </c>
    </row>
    <row r="6679">
      <c r="A6679" t="inlineStr">
        <is>
          <t xml:space="preserve">low </t>
        </is>
      </c>
      <c r="B6679">
        <f>VLOOKUP(927,Requirements!A2:B2967,2,FALSE)</f>
        <v/>
      </c>
    </row>
    <row r="6680">
      <c r="A6680" t="inlineStr">
        <is>
          <t xml:space="preserve">low </t>
        </is>
      </c>
      <c r="B6680">
        <f>VLOOKUP(993,Requirements!A2:B2967,2,FALSE)</f>
        <v/>
      </c>
    </row>
    <row r="6681">
      <c r="A6681" t="inlineStr">
        <is>
          <t xml:space="preserve">low </t>
        </is>
      </c>
      <c r="B6681">
        <f>VLOOKUP(1015,Requirements!A2:B2967,2,FALSE)</f>
        <v/>
      </c>
    </row>
    <row r="6682">
      <c r="A6682" t="inlineStr">
        <is>
          <t xml:space="preserve">low </t>
        </is>
      </c>
      <c r="B6682">
        <f>VLOOKUP(1097,Requirements!A2:B2967,2,FALSE)</f>
        <v/>
      </c>
    </row>
    <row r="6683">
      <c r="A6683" t="inlineStr">
        <is>
          <t xml:space="preserve">low </t>
        </is>
      </c>
      <c r="B6683">
        <f>VLOOKUP(1103,Requirements!A2:B2967,2,FALSE)</f>
        <v/>
      </c>
    </row>
    <row r="6684">
      <c r="A6684" t="inlineStr">
        <is>
          <t xml:space="preserve">low </t>
        </is>
      </c>
      <c r="B6684">
        <f>VLOOKUP(1112,Requirements!A2:B2967,2,FALSE)</f>
        <v/>
      </c>
    </row>
    <row r="6685">
      <c r="A6685" t="inlineStr">
        <is>
          <t xml:space="preserve">low </t>
        </is>
      </c>
      <c r="B6685">
        <f>VLOOKUP(1113,Requirements!A2:B2967,2,FALSE)</f>
        <v/>
      </c>
    </row>
    <row r="6686">
      <c r="A6686" t="inlineStr">
        <is>
          <t xml:space="preserve">low </t>
        </is>
      </c>
      <c r="B6686">
        <f>VLOOKUP(1184,Requirements!A2:B2967,2,FALSE)</f>
        <v/>
      </c>
    </row>
    <row r="6687">
      <c r="A6687" t="inlineStr">
        <is>
          <t xml:space="preserve">low </t>
        </is>
      </c>
      <c r="B6687">
        <f>VLOOKUP(1185,Requirements!A2:B2967,2,FALSE)</f>
        <v/>
      </c>
    </row>
    <row r="6688">
      <c r="A6688" t="inlineStr">
        <is>
          <t xml:space="preserve">low </t>
        </is>
      </c>
      <c r="B6688">
        <f>VLOOKUP(1604,Requirements!A2:B2967,2,FALSE)</f>
        <v/>
      </c>
    </row>
    <row r="6689">
      <c r="A6689" t="inlineStr">
        <is>
          <t xml:space="preserve">low </t>
        </is>
      </c>
      <c r="B6689">
        <f>VLOOKUP(1641,Requirements!A2:B2967,2,FALSE)</f>
        <v/>
      </c>
    </row>
    <row r="6690">
      <c r="A6690" t="inlineStr">
        <is>
          <t xml:space="preserve">low </t>
        </is>
      </c>
      <c r="B6690">
        <f>VLOOKUP(1693,Requirements!A2:B2967,2,FALSE)</f>
        <v/>
      </c>
    </row>
    <row r="6691">
      <c r="A6691" t="inlineStr">
        <is>
          <t xml:space="preserve">low </t>
        </is>
      </c>
      <c r="B6691">
        <f>VLOOKUP(1833,Requirements!A2:B2967,2,FALSE)</f>
        <v/>
      </c>
    </row>
    <row r="6692">
      <c r="A6692" t="inlineStr">
        <is>
          <t xml:space="preserve">low </t>
        </is>
      </c>
      <c r="B6692">
        <f>VLOOKUP(1873,Requirements!A2:B2967,2,FALSE)</f>
        <v/>
      </c>
    </row>
    <row r="6693">
      <c r="A6693" t="inlineStr">
        <is>
          <t xml:space="preserve">low </t>
        </is>
      </c>
      <c r="B6693">
        <f>VLOOKUP(1905,Requirements!A2:B2967,2,FALSE)</f>
        <v/>
      </c>
    </row>
    <row r="6694">
      <c r="A6694" t="inlineStr">
        <is>
          <t xml:space="preserve">low </t>
        </is>
      </c>
      <c r="B6694">
        <f>VLOOKUP(2049,Requirements!A2:B2967,2,FALSE)</f>
        <v/>
      </c>
    </row>
    <row r="6695">
      <c r="A6695" t="inlineStr">
        <is>
          <t xml:space="preserve">low </t>
        </is>
      </c>
      <c r="B6695">
        <f>VLOOKUP(2101,Requirements!A2:B2967,2,FALSE)</f>
        <v/>
      </c>
    </row>
    <row r="6696">
      <c r="A6696" t="inlineStr">
        <is>
          <t xml:space="preserve">low </t>
        </is>
      </c>
      <c r="B6696">
        <f>VLOOKUP(2222,Requirements!A2:B2967,2,FALSE)</f>
        <v/>
      </c>
    </row>
    <row r="6697">
      <c r="A6697" t="inlineStr">
        <is>
          <t xml:space="preserve">low </t>
        </is>
      </c>
      <c r="B6697">
        <f>VLOOKUP(2238,Requirements!A2:B2967,2,FALSE)</f>
        <v/>
      </c>
    </row>
    <row r="6698">
      <c r="A6698" t="inlineStr">
        <is>
          <t xml:space="preserve">low </t>
        </is>
      </c>
      <c r="B6698">
        <f>VLOOKUP(2270,Requirements!A2:B2967,2,FALSE)</f>
        <v/>
      </c>
    </row>
    <row r="6699">
      <c r="A6699" t="inlineStr">
        <is>
          <t xml:space="preserve">low </t>
        </is>
      </c>
      <c r="B6699">
        <f>VLOOKUP(2316,Requirements!A2:B2967,2,FALSE)</f>
        <v/>
      </c>
    </row>
    <row r="6700">
      <c r="A6700" t="inlineStr">
        <is>
          <t xml:space="preserve">low </t>
        </is>
      </c>
      <c r="B6700">
        <f>VLOOKUP(2386,Requirements!A2:B2967,2,FALSE)</f>
        <v/>
      </c>
    </row>
    <row r="6701">
      <c r="A6701" t="inlineStr">
        <is>
          <t xml:space="preserve">low </t>
        </is>
      </c>
      <c r="B6701">
        <f>VLOOKUP(2457,Requirements!A2:B2967,2,FALSE)</f>
        <v/>
      </c>
    </row>
    <row r="6702">
      <c r="A6702" t="inlineStr">
        <is>
          <t xml:space="preserve">low </t>
        </is>
      </c>
      <c r="B6702">
        <f>VLOOKUP(2578,Requirements!A2:B2967,2,FALSE)</f>
        <v/>
      </c>
    </row>
    <row r="6703">
      <c r="A6703" t="inlineStr">
        <is>
          <t xml:space="preserve">low </t>
        </is>
      </c>
      <c r="B6703">
        <f>VLOOKUP(2712,Requirements!A2:B2967,2,FALSE)</f>
        <v/>
      </c>
    </row>
    <row r="6704">
      <c r="A6704" t="inlineStr">
        <is>
          <t xml:space="preserve">low </t>
        </is>
      </c>
      <c r="B6704">
        <f>VLOOKUP(2802,Requirements!A2:B2967,2,FALSE)</f>
        <v/>
      </c>
    </row>
    <row r="6705">
      <c r="A6705" t="inlineStr">
        <is>
          <t xml:space="preserve">low </t>
        </is>
      </c>
      <c r="B6705">
        <f>VLOOKUP(2855,Requirements!A2:B2967,2,FALSE)</f>
        <v/>
      </c>
    </row>
    <row r="6706">
      <c r="A6706" t="inlineStr">
        <is>
          <t xml:space="preserve">low </t>
        </is>
      </c>
      <c r="B6706">
        <f>VLOOKUP(2916,Requirements!A2:B2967,2,FALSE)</f>
        <v/>
      </c>
    </row>
    <row r="6707">
      <c r="A6707" t="inlineStr">
        <is>
          <t xml:space="preserve">low </t>
        </is>
      </c>
      <c r="B6707">
        <f>VLOOKUP(3054,Requirements!A2:B2967,2,FALSE)</f>
        <v/>
      </c>
    </row>
    <row r="6708">
      <c r="A6708" t="inlineStr">
        <is>
          <t xml:space="preserve">low </t>
        </is>
      </c>
      <c r="B6708">
        <f>VLOOKUP(3100,Requirements!A2:B2967,2,FALSE)</f>
        <v/>
      </c>
    </row>
    <row r="6709">
      <c r="A6709" t="inlineStr">
        <is>
          <t xml:space="preserve">low </t>
        </is>
      </c>
      <c r="B6709">
        <f>VLOOKUP(3217,Requirements!A2:B2967,2,FALSE)</f>
        <v/>
      </c>
    </row>
    <row r="6710">
      <c r="A6710" t="inlineStr">
        <is>
          <t xml:space="preserve">care </t>
        </is>
      </c>
      <c r="B6710">
        <f>VLOOKUP(61,Requirements!A2:B2967,2,FALSE)</f>
        <v/>
      </c>
    </row>
    <row r="6711">
      <c r="A6711" t="inlineStr">
        <is>
          <t xml:space="preserve">care </t>
        </is>
      </c>
      <c r="B6711">
        <f>VLOOKUP(94,Requirements!A2:B2967,2,FALSE)</f>
        <v/>
      </c>
    </row>
    <row r="6712">
      <c r="A6712" t="inlineStr">
        <is>
          <t xml:space="preserve">care </t>
        </is>
      </c>
      <c r="B6712">
        <f>VLOOKUP(358,Requirements!A2:B2967,2,FALSE)</f>
        <v/>
      </c>
    </row>
    <row r="6713">
      <c r="A6713" t="inlineStr">
        <is>
          <t xml:space="preserve">care </t>
        </is>
      </c>
      <c r="B6713">
        <f>VLOOKUP(501,Requirements!A2:B2967,2,FALSE)</f>
        <v/>
      </c>
    </row>
    <row r="6714">
      <c r="A6714" t="inlineStr">
        <is>
          <t xml:space="preserve">care </t>
        </is>
      </c>
      <c r="B6714">
        <f>VLOOKUP(625,Requirements!A2:B2967,2,FALSE)</f>
        <v/>
      </c>
    </row>
    <row r="6715">
      <c r="A6715" t="inlineStr">
        <is>
          <t xml:space="preserve">care </t>
        </is>
      </c>
      <c r="B6715">
        <f>VLOOKUP(772,Requirements!A2:B2967,2,FALSE)</f>
        <v/>
      </c>
    </row>
    <row r="6716">
      <c r="A6716" t="inlineStr">
        <is>
          <t xml:space="preserve">care </t>
        </is>
      </c>
      <c r="B6716">
        <f>VLOOKUP(810,Requirements!A2:B2967,2,FALSE)</f>
        <v/>
      </c>
    </row>
    <row r="6717">
      <c r="A6717" t="inlineStr">
        <is>
          <t xml:space="preserve">care </t>
        </is>
      </c>
      <c r="B6717">
        <f>VLOOKUP(834,Requirements!A2:B2967,2,FALSE)</f>
        <v/>
      </c>
    </row>
    <row r="6718">
      <c r="A6718" t="inlineStr">
        <is>
          <t xml:space="preserve">care </t>
        </is>
      </c>
      <c r="B6718">
        <f>VLOOKUP(913,Requirements!A2:B2967,2,FALSE)</f>
        <v/>
      </c>
    </row>
    <row r="6719">
      <c r="A6719" t="inlineStr">
        <is>
          <t xml:space="preserve">care </t>
        </is>
      </c>
      <c r="B6719">
        <f>VLOOKUP(925,Requirements!A2:B2967,2,FALSE)</f>
        <v/>
      </c>
    </row>
    <row r="6720">
      <c r="A6720" t="inlineStr">
        <is>
          <t xml:space="preserve">care </t>
        </is>
      </c>
      <c r="B6720">
        <f>VLOOKUP(1127,Requirements!A2:B2967,2,FALSE)</f>
        <v/>
      </c>
    </row>
    <row r="6721">
      <c r="A6721" t="inlineStr">
        <is>
          <t xml:space="preserve">care </t>
        </is>
      </c>
      <c r="B6721">
        <f>VLOOKUP(1257,Requirements!A2:B2967,2,FALSE)</f>
        <v/>
      </c>
    </row>
    <row r="6722">
      <c r="A6722" t="inlineStr">
        <is>
          <t xml:space="preserve">care </t>
        </is>
      </c>
      <c r="B6722">
        <f>VLOOKUP(1410,Requirements!A2:B2967,2,FALSE)</f>
        <v/>
      </c>
    </row>
    <row r="6723">
      <c r="A6723" t="inlineStr">
        <is>
          <t xml:space="preserve">care </t>
        </is>
      </c>
      <c r="B6723">
        <f>VLOOKUP(1886,Requirements!A2:B2967,2,FALSE)</f>
        <v/>
      </c>
    </row>
    <row r="6724">
      <c r="A6724" t="inlineStr">
        <is>
          <t xml:space="preserve">care </t>
        </is>
      </c>
      <c r="B6724">
        <f>VLOOKUP(2734,Requirements!A2:B2967,2,FALSE)</f>
        <v/>
      </c>
    </row>
    <row r="6725">
      <c r="A6725" t="inlineStr">
        <is>
          <t xml:space="preserve">care </t>
        </is>
      </c>
      <c r="B6725">
        <f>VLOOKUP(2873,Requirements!A2:B2967,2,FALSE)</f>
        <v/>
      </c>
    </row>
    <row r="6726">
      <c r="A6726" t="inlineStr">
        <is>
          <t xml:space="preserve">care </t>
        </is>
      </c>
      <c r="B6726">
        <f>VLOOKUP(2965,Requirements!A2:B2967,2,FALSE)</f>
        <v/>
      </c>
    </row>
    <row r="6727">
      <c r="A6727" t="inlineStr">
        <is>
          <t xml:space="preserve">care </t>
        </is>
      </c>
      <c r="B6727">
        <f>VLOOKUP(3045,Requirements!A2:B2967,2,FALSE)</f>
        <v/>
      </c>
    </row>
    <row r="6728">
      <c r="A6728" t="inlineStr">
        <is>
          <t xml:space="preserve">area </t>
        </is>
      </c>
      <c r="B6728">
        <f>VLOOKUP(63,Requirements!A2:B2967,2,FALSE)</f>
        <v/>
      </c>
    </row>
    <row r="6729">
      <c r="A6729" t="inlineStr">
        <is>
          <t xml:space="preserve">area </t>
        </is>
      </c>
      <c r="B6729">
        <f>VLOOKUP(250,Requirements!A2:B2967,2,FALSE)</f>
        <v/>
      </c>
    </row>
    <row r="6730">
      <c r="A6730" t="inlineStr">
        <is>
          <t xml:space="preserve">area </t>
        </is>
      </c>
      <c r="B6730">
        <f>VLOOKUP(418,Requirements!A2:B2967,2,FALSE)</f>
        <v/>
      </c>
    </row>
    <row r="6731">
      <c r="A6731" t="inlineStr">
        <is>
          <t xml:space="preserve">area </t>
        </is>
      </c>
      <c r="B6731">
        <f>VLOOKUP(616,Requirements!A2:B2967,2,FALSE)</f>
        <v/>
      </c>
    </row>
    <row r="6732">
      <c r="A6732" t="inlineStr">
        <is>
          <t xml:space="preserve">area </t>
        </is>
      </c>
      <c r="B6732">
        <f>VLOOKUP(747,Requirements!A2:B2967,2,FALSE)</f>
        <v/>
      </c>
    </row>
    <row r="6733">
      <c r="A6733" t="inlineStr">
        <is>
          <t xml:space="preserve">area </t>
        </is>
      </c>
      <c r="B6733">
        <f>VLOOKUP(754,Requirements!A2:B2967,2,FALSE)</f>
        <v/>
      </c>
    </row>
    <row r="6734">
      <c r="A6734" t="inlineStr">
        <is>
          <t xml:space="preserve">area </t>
        </is>
      </c>
      <c r="B6734">
        <f>VLOOKUP(1056,Requirements!A2:B2967,2,FALSE)</f>
        <v/>
      </c>
    </row>
    <row r="6735">
      <c r="A6735" t="inlineStr">
        <is>
          <t xml:space="preserve">area </t>
        </is>
      </c>
      <c r="B6735">
        <f>VLOOKUP(1093,Requirements!A2:B2967,2,FALSE)</f>
        <v/>
      </c>
    </row>
    <row r="6736">
      <c r="A6736" t="inlineStr">
        <is>
          <t xml:space="preserve">area </t>
        </is>
      </c>
      <c r="B6736">
        <f>VLOOKUP(1514,Requirements!A2:B2967,2,FALSE)</f>
        <v/>
      </c>
    </row>
    <row r="6737">
      <c r="A6737" t="inlineStr">
        <is>
          <t xml:space="preserve">area </t>
        </is>
      </c>
      <c r="B6737">
        <f>VLOOKUP(1555,Requirements!A2:B2967,2,FALSE)</f>
        <v/>
      </c>
    </row>
    <row r="6738">
      <c r="A6738" t="inlineStr">
        <is>
          <t xml:space="preserve">area </t>
        </is>
      </c>
      <c r="B6738">
        <f>VLOOKUP(1663,Requirements!A2:B2967,2,FALSE)</f>
        <v/>
      </c>
    </row>
    <row r="6739">
      <c r="A6739" t="inlineStr">
        <is>
          <t xml:space="preserve">area </t>
        </is>
      </c>
      <c r="B6739">
        <f>VLOOKUP(1781,Requirements!A2:B2967,2,FALSE)</f>
        <v/>
      </c>
    </row>
    <row r="6740">
      <c r="A6740" t="inlineStr">
        <is>
          <t xml:space="preserve">area </t>
        </is>
      </c>
      <c r="B6740">
        <f>VLOOKUP(1816,Requirements!A2:B2967,2,FALSE)</f>
        <v/>
      </c>
    </row>
    <row r="6741">
      <c r="A6741" t="inlineStr">
        <is>
          <t xml:space="preserve">area </t>
        </is>
      </c>
      <c r="B6741">
        <f>VLOOKUP(2025,Requirements!A2:B2967,2,FALSE)</f>
        <v/>
      </c>
    </row>
    <row r="6742">
      <c r="A6742" t="inlineStr">
        <is>
          <t xml:space="preserve">area </t>
        </is>
      </c>
      <c r="B6742">
        <f>VLOOKUP(2345,Requirements!A2:B2967,2,FALSE)</f>
        <v/>
      </c>
    </row>
    <row r="6743">
      <c r="A6743" t="inlineStr">
        <is>
          <t xml:space="preserve">area </t>
        </is>
      </c>
      <c r="B6743">
        <f>VLOOKUP(2410,Requirements!A2:B2967,2,FALSE)</f>
        <v/>
      </c>
    </row>
    <row r="6744">
      <c r="A6744" t="inlineStr">
        <is>
          <t xml:space="preserve">area </t>
        </is>
      </c>
      <c r="B6744">
        <f>VLOOKUP(2504,Requirements!A2:B2967,2,FALSE)</f>
        <v/>
      </c>
    </row>
    <row r="6745">
      <c r="A6745" t="inlineStr">
        <is>
          <t xml:space="preserve">area </t>
        </is>
      </c>
      <c r="B6745">
        <f>VLOOKUP(2664,Requirements!A2:B2967,2,FALSE)</f>
        <v/>
      </c>
    </row>
    <row r="6746">
      <c r="A6746" t="inlineStr">
        <is>
          <t xml:space="preserve">area </t>
        </is>
      </c>
      <c r="B6746">
        <f>VLOOKUP(2713,Requirements!A2:B2967,2,FALSE)</f>
        <v/>
      </c>
    </row>
    <row r="6747">
      <c r="A6747" t="inlineStr">
        <is>
          <t xml:space="preserve">area </t>
        </is>
      </c>
      <c r="B6747">
        <f>VLOOKUP(2770,Requirements!A2:B2967,2,FALSE)</f>
        <v/>
      </c>
    </row>
    <row r="6748">
      <c r="A6748" t="inlineStr">
        <is>
          <t xml:space="preserve">area </t>
        </is>
      </c>
      <c r="B6748">
        <f>VLOOKUP(2884,Requirements!A2:B2967,2,FALSE)</f>
        <v/>
      </c>
    </row>
    <row r="6749">
      <c r="A6749" t="inlineStr">
        <is>
          <t xml:space="preserve">area </t>
        </is>
      </c>
      <c r="B6749">
        <f>VLOOKUP(2958,Requirements!A2:B2967,2,FALSE)</f>
        <v/>
      </c>
    </row>
    <row r="6750">
      <c r="A6750" t="inlineStr">
        <is>
          <t xml:space="preserve">area </t>
        </is>
      </c>
      <c r="B6750">
        <f>VLOOKUP(2963,Requirements!A2:B2967,2,FALSE)</f>
        <v/>
      </c>
    </row>
    <row r="6751">
      <c r="A6751" t="inlineStr">
        <is>
          <t xml:space="preserve">area </t>
        </is>
      </c>
      <c r="B6751">
        <f>VLOOKUP(2985,Requirements!A2:B2967,2,FALSE)</f>
        <v/>
      </c>
    </row>
    <row r="6752">
      <c r="A6752" t="inlineStr">
        <is>
          <t xml:space="preserve">area </t>
        </is>
      </c>
      <c r="B6752">
        <f>VLOOKUP(3170,Requirements!A2:B2967,2,FALSE)</f>
        <v/>
      </c>
    </row>
    <row r="6753">
      <c r="A6753" t="inlineStr">
        <is>
          <t xml:space="preserve">area </t>
        </is>
      </c>
      <c r="B6753">
        <f>VLOOKUP(3217,Requirements!A2:B2967,2,FALSE)</f>
        <v/>
      </c>
    </row>
    <row r="6754">
      <c r="A6754" t="inlineStr">
        <is>
          <t xml:space="preserve">snow </t>
        </is>
      </c>
      <c r="B6754">
        <f>VLOOKUP(63,Requirements!A2:B2967,2,FALSE)</f>
        <v/>
      </c>
    </row>
    <row r="6755">
      <c r="A6755" t="inlineStr">
        <is>
          <t xml:space="preserve">snow </t>
        </is>
      </c>
      <c r="B6755">
        <f>VLOOKUP(257,Requirements!A2:B2967,2,FALSE)</f>
        <v/>
      </c>
    </row>
    <row r="6756">
      <c r="A6756" t="inlineStr">
        <is>
          <t xml:space="preserve">snow </t>
        </is>
      </c>
      <c r="B6756">
        <f>VLOOKUP(460,Requirements!A2:B2967,2,FALSE)</f>
        <v/>
      </c>
    </row>
    <row r="6757">
      <c r="A6757" t="inlineStr">
        <is>
          <t xml:space="preserve">snow </t>
        </is>
      </c>
      <c r="B6757">
        <f>VLOOKUP(2078,Requirements!A2:B2967,2,FALSE)</f>
        <v/>
      </c>
    </row>
    <row r="6758">
      <c r="A6758" t="inlineStr">
        <is>
          <t xml:space="preserve">snow </t>
        </is>
      </c>
      <c r="B6758">
        <f>VLOOKUP(2594,Requirements!A2:B2967,2,FALSE)</f>
        <v/>
      </c>
    </row>
    <row r="6759">
      <c r="A6759" t="inlineStr">
        <is>
          <t xml:space="preserve">snow </t>
        </is>
      </c>
      <c r="B6759">
        <f>VLOOKUP(2769,Requirements!A2:B2967,2,FALSE)</f>
        <v/>
      </c>
    </row>
    <row r="6760">
      <c r="A6760" t="inlineStr">
        <is>
          <t xml:space="preserve">high </t>
        </is>
      </c>
      <c r="B6760">
        <f>VLOOKUP(63,Requirements!A2:B2967,2,FALSE)</f>
        <v/>
      </c>
    </row>
    <row r="6761">
      <c r="A6761" t="inlineStr">
        <is>
          <t xml:space="preserve">high </t>
        </is>
      </c>
      <c r="B6761">
        <f>VLOOKUP(270,Requirements!A2:B2967,2,FALSE)</f>
        <v/>
      </c>
    </row>
    <row r="6762">
      <c r="A6762" t="inlineStr">
        <is>
          <t xml:space="preserve">high </t>
        </is>
      </c>
      <c r="B6762">
        <f>VLOOKUP(296,Requirements!A2:B2967,2,FALSE)</f>
        <v/>
      </c>
    </row>
    <row r="6763">
      <c r="A6763" t="inlineStr">
        <is>
          <t xml:space="preserve">high </t>
        </is>
      </c>
      <c r="B6763">
        <f>VLOOKUP(301,Requirements!A2:B2967,2,FALSE)</f>
        <v/>
      </c>
    </row>
    <row r="6764">
      <c r="A6764" t="inlineStr">
        <is>
          <t xml:space="preserve">high </t>
        </is>
      </c>
      <c r="B6764">
        <f>VLOOKUP(374,Requirements!A2:B2967,2,FALSE)</f>
        <v/>
      </c>
    </row>
    <row r="6765">
      <c r="A6765" t="inlineStr">
        <is>
          <t xml:space="preserve">high </t>
        </is>
      </c>
      <c r="B6765">
        <f>VLOOKUP(487,Requirements!A2:B2967,2,FALSE)</f>
        <v/>
      </c>
    </row>
    <row r="6766">
      <c r="A6766" t="inlineStr">
        <is>
          <t xml:space="preserve">high </t>
        </is>
      </c>
      <c r="B6766">
        <f>VLOOKUP(700,Requirements!A2:B2967,2,FALSE)</f>
        <v/>
      </c>
    </row>
    <row r="6767">
      <c r="A6767" t="inlineStr">
        <is>
          <t xml:space="preserve">high </t>
        </is>
      </c>
      <c r="B6767">
        <f>VLOOKUP(754,Requirements!A2:B2967,2,FALSE)</f>
        <v/>
      </c>
    </row>
    <row r="6768">
      <c r="A6768" t="inlineStr">
        <is>
          <t xml:space="preserve">high </t>
        </is>
      </c>
      <c r="B6768">
        <f>VLOOKUP(779,Requirements!A2:B2967,2,FALSE)</f>
        <v/>
      </c>
    </row>
    <row r="6769">
      <c r="A6769" t="inlineStr">
        <is>
          <t xml:space="preserve">high </t>
        </is>
      </c>
      <c r="B6769">
        <f>VLOOKUP(912,Requirements!A2:B2967,2,FALSE)</f>
        <v/>
      </c>
    </row>
    <row r="6770">
      <c r="A6770" t="inlineStr">
        <is>
          <t xml:space="preserve">high </t>
        </is>
      </c>
      <c r="B6770">
        <f>VLOOKUP(953,Requirements!A2:B2967,2,FALSE)</f>
        <v/>
      </c>
    </row>
    <row r="6771">
      <c r="A6771" t="inlineStr">
        <is>
          <t xml:space="preserve">high </t>
        </is>
      </c>
      <c r="B6771">
        <f>VLOOKUP(1007,Requirements!A2:B2967,2,FALSE)</f>
        <v/>
      </c>
    </row>
    <row r="6772">
      <c r="A6772" t="inlineStr">
        <is>
          <t xml:space="preserve">high </t>
        </is>
      </c>
      <c r="B6772">
        <f>VLOOKUP(1836,Requirements!A2:B2967,2,FALSE)</f>
        <v/>
      </c>
    </row>
    <row r="6773">
      <c r="A6773" t="inlineStr">
        <is>
          <t xml:space="preserve">high </t>
        </is>
      </c>
      <c r="B6773">
        <f>VLOOKUP(1850,Requirements!A2:B2967,2,FALSE)</f>
        <v/>
      </c>
    </row>
    <row r="6774">
      <c r="A6774" t="inlineStr">
        <is>
          <t xml:space="preserve">high </t>
        </is>
      </c>
      <c r="B6774">
        <f>VLOOKUP(2778,Requirements!A2:B2967,2,FALSE)</f>
        <v/>
      </c>
    </row>
    <row r="6775">
      <c r="A6775" t="inlineStr">
        <is>
          <t xml:space="preserve">high </t>
        </is>
      </c>
      <c r="B6775">
        <f>VLOOKUP(2806,Requirements!A2:B2967,2,FALSE)</f>
        <v/>
      </c>
    </row>
    <row r="6776">
      <c r="A6776" t="inlineStr">
        <is>
          <t xml:space="preserve">high </t>
        </is>
      </c>
      <c r="B6776">
        <f>VLOOKUP(3178,Requirements!A2:B2967,2,FALSE)</f>
        <v/>
      </c>
    </row>
    <row r="6777">
      <c r="A6777" t="inlineStr">
        <is>
          <t xml:space="preserve">camera </t>
        </is>
      </c>
      <c r="B6777">
        <f>VLOOKUP(64,Requirements!A2:B2967,2,FALSE)</f>
        <v/>
      </c>
    </row>
    <row r="6778">
      <c r="A6778" t="inlineStr">
        <is>
          <t xml:space="preserve">camera </t>
        </is>
      </c>
      <c r="B6778">
        <f>VLOOKUP(192,Requirements!A2:B2967,2,FALSE)</f>
        <v/>
      </c>
    </row>
    <row r="6779">
      <c r="A6779" t="inlineStr">
        <is>
          <t xml:space="preserve">camera </t>
        </is>
      </c>
      <c r="B6779">
        <f>VLOOKUP(249,Requirements!A2:B2967,2,FALSE)</f>
        <v/>
      </c>
    </row>
    <row r="6780">
      <c r="A6780" t="inlineStr">
        <is>
          <t xml:space="preserve">camera </t>
        </is>
      </c>
      <c r="B6780">
        <f>VLOOKUP(505,Requirements!A2:B2967,2,FALSE)</f>
        <v/>
      </c>
    </row>
    <row r="6781">
      <c r="A6781" t="inlineStr">
        <is>
          <t xml:space="preserve">camera </t>
        </is>
      </c>
      <c r="B6781">
        <f>VLOOKUP(1543,Requirements!A2:B2967,2,FALSE)</f>
        <v/>
      </c>
    </row>
    <row r="6782">
      <c r="A6782" t="inlineStr">
        <is>
          <t xml:space="preserve">camera </t>
        </is>
      </c>
      <c r="B6782">
        <f>VLOOKUP(1985,Requirements!A2:B2967,2,FALSE)</f>
        <v/>
      </c>
    </row>
    <row r="6783">
      <c r="A6783" t="inlineStr">
        <is>
          <t xml:space="preserve">camera </t>
        </is>
      </c>
      <c r="B6783">
        <f>VLOOKUP(2088,Requirements!A2:B2967,2,FALSE)</f>
        <v/>
      </c>
    </row>
    <row r="6784">
      <c r="A6784" t="inlineStr">
        <is>
          <t xml:space="preserve">camera </t>
        </is>
      </c>
      <c r="B6784">
        <f>VLOOKUP(2300,Requirements!A2:B2967,2,FALSE)</f>
        <v/>
      </c>
    </row>
    <row r="6785">
      <c r="A6785" t="inlineStr">
        <is>
          <t xml:space="preserve">camera </t>
        </is>
      </c>
      <c r="B6785">
        <f>VLOOKUP(2518,Requirements!A2:B2967,2,FALSE)</f>
        <v/>
      </c>
    </row>
    <row r="6786">
      <c r="A6786" t="inlineStr">
        <is>
          <t xml:space="preserve">camera </t>
        </is>
      </c>
      <c r="B6786">
        <f>VLOOKUP(2701,Requirements!A2:B2967,2,FALSE)</f>
        <v/>
      </c>
    </row>
    <row r="6787">
      <c r="A6787" t="inlineStr">
        <is>
          <t xml:space="preserve">camera </t>
        </is>
      </c>
      <c r="B6787">
        <f>VLOOKUP(2706,Requirements!A2:B2967,2,FALSE)</f>
        <v/>
      </c>
    </row>
    <row r="6788">
      <c r="A6788" t="inlineStr">
        <is>
          <t xml:space="preserve">camera </t>
        </is>
      </c>
      <c r="B6788">
        <f>VLOOKUP(2904,Requirements!A2:B2967,2,FALSE)</f>
        <v/>
      </c>
    </row>
    <row r="6789">
      <c r="A6789" t="inlineStr">
        <is>
          <t xml:space="preserve">consumer </t>
        </is>
      </c>
      <c r="B6789">
        <f>VLOOKUP(66,Requirements!A2:B2967,2,FALSE)</f>
        <v/>
      </c>
    </row>
    <row r="6790">
      <c r="A6790" t="inlineStr">
        <is>
          <t xml:space="preserve">consumer </t>
        </is>
      </c>
      <c r="B6790">
        <f>VLOOKUP(167,Requirements!A2:B2967,2,FALSE)</f>
        <v/>
      </c>
    </row>
    <row r="6791">
      <c r="A6791" t="inlineStr">
        <is>
          <t xml:space="preserve">consumer </t>
        </is>
      </c>
      <c r="B6791">
        <f>VLOOKUP(336,Requirements!A2:B2967,2,FALSE)</f>
        <v/>
      </c>
    </row>
    <row r="6792">
      <c r="A6792" t="inlineStr">
        <is>
          <t xml:space="preserve">consumer </t>
        </is>
      </c>
      <c r="B6792">
        <f>VLOOKUP(426,Requirements!A2:B2967,2,FALSE)</f>
        <v/>
      </c>
    </row>
    <row r="6793">
      <c r="A6793" t="inlineStr">
        <is>
          <t xml:space="preserve">consumer </t>
        </is>
      </c>
      <c r="B6793">
        <f>VLOOKUP(2293,Requirements!A2:B2967,2,FALSE)</f>
        <v/>
      </c>
    </row>
    <row r="6794">
      <c r="A6794" t="inlineStr">
        <is>
          <t xml:space="preserve">consumer </t>
        </is>
      </c>
      <c r="B6794">
        <f>VLOOKUP(2294,Requirements!A2:B2967,2,FALSE)</f>
        <v/>
      </c>
    </row>
    <row r="6795">
      <c r="A6795" t="inlineStr">
        <is>
          <t xml:space="preserve">consumer </t>
        </is>
      </c>
      <c r="B6795">
        <f>VLOOKUP(2369,Requirements!A2:B2967,2,FALSE)</f>
        <v/>
      </c>
    </row>
    <row r="6796">
      <c r="A6796" t="inlineStr">
        <is>
          <t xml:space="preserve">consumer </t>
        </is>
      </c>
      <c r="B6796">
        <f>VLOOKUP(2373,Requirements!A2:B2967,2,FALSE)</f>
        <v/>
      </c>
    </row>
    <row r="6797">
      <c r="A6797" t="inlineStr">
        <is>
          <t xml:space="preserve">consumer </t>
        </is>
      </c>
      <c r="B6797">
        <f>VLOOKUP(2375,Requirements!A2:B2967,2,FALSE)</f>
        <v/>
      </c>
    </row>
    <row r="6798">
      <c r="A6798" t="inlineStr">
        <is>
          <t xml:space="preserve">consumer </t>
        </is>
      </c>
      <c r="B6798">
        <f>VLOOKUP(2376,Requirements!A2:B2967,2,FALSE)</f>
        <v/>
      </c>
    </row>
    <row r="6799">
      <c r="A6799" t="inlineStr">
        <is>
          <t xml:space="preserve">consumer </t>
        </is>
      </c>
      <c r="B6799">
        <f>VLOOKUP(2377,Requirements!A2:B2967,2,FALSE)</f>
        <v/>
      </c>
    </row>
    <row r="6800">
      <c r="A6800" t="inlineStr">
        <is>
          <t xml:space="preserve">consumer </t>
        </is>
      </c>
      <c r="B6800">
        <f>VLOOKUP(2379,Requirements!A2:B2967,2,FALSE)</f>
        <v/>
      </c>
    </row>
    <row r="6801">
      <c r="A6801" t="inlineStr">
        <is>
          <t xml:space="preserve">consumer </t>
        </is>
      </c>
      <c r="B6801">
        <f>VLOOKUP(2381,Requirements!A2:B2967,2,FALSE)</f>
        <v/>
      </c>
    </row>
    <row r="6802">
      <c r="A6802" t="inlineStr">
        <is>
          <t xml:space="preserve">consumer </t>
        </is>
      </c>
      <c r="B6802">
        <f>VLOOKUP(2535,Requirements!A2:B2967,2,FALSE)</f>
        <v/>
      </c>
    </row>
    <row r="6803">
      <c r="A6803" t="inlineStr">
        <is>
          <t xml:space="preserve">consumer </t>
        </is>
      </c>
      <c r="B6803">
        <f>VLOOKUP(3018,Requirements!A2:B2967,2,FALSE)</f>
        <v/>
      </c>
    </row>
    <row r="6804">
      <c r="A6804" t="inlineStr">
        <is>
          <t xml:space="preserve">consumer </t>
        </is>
      </c>
      <c r="B6804">
        <f>VLOOKUP(3217,Requirements!A2:B2967,2,FALSE)</f>
        <v/>
      </c>
    </row>
    <row r="6805">
      <c r="A6805" t="inlineStr">
        <is>
          <t xml:space="preserve">news </t>
        </is>
      </c>
      <c r="B6805">
        <f>VLOOKUP(66,Requirements!A2:B2967,2,FALSE)</f>
        <v/>
      </c>
    </row>
    <row r="6806">
      <c r="A6806" t="inlineStr">
        <is>
          <t xml:space="preserve">news </t>
        </is>
      </c>
      <c r="B6806">
        <f>VLOOKUP(276,Requirements!A2:B2967,2,FALSE)</f>
        <v/>
      </c>
    </row>
    <row r="6807">
      <c r="A6807" t="inlineStr">
        <is>
          <t xml:space="preserve">news </t>
        </is>
      </c>
      <c r="B6807">
        <f>VLOOKUP(551,Requirements!A2:B2967,2,FALSE)</f>
        <v/>
      </c>
    </row>
    <row r="6808">
      <c r="A6808" t="inlineStr">
        <is>
          <t xml:space="preserve">news </t>
        </is>
      </c>
      <c r="B6808">
        <f>VLOOKUP(714,Requirements!A2:B2967,2,FALSE)</f>
        <v/>
      </c>
    </row>
    <row r="6809">
      <c r="A6809" t="inlineStr">
        <is>
          <t xml:space="preserve">news </t>
        </is>
      </c>
      <c r="B6809">
        <f>VLOOKUP(1278,Requirements!A2:B2967,2,FALSE)</f>
        <v/>
      </c>
    </row>
    <row r="6810">
      <c r="A6810" t="inlineStr">
        <is>
          <t xml:space="preserve">news </t>
        </is>
      </c>
      <c r="B6810">
        <f>VLOOKUP(1645,Requirements!A2:B2967,2,FALSE)</f>
        <v/>
      </c>
    </row>
    <row r="6811">
      <c r="A6811" t="inlineStr">
        <is>
          <t xml:space="preserve">news </t>
        </is>
      </c>
      <c r="B6811">
        <f>VLOOKUP(1666,Requirements!A2:B2967,2,FALSE)</f>
        <v/>
      </c>
    </row>
    <row r="6812">
      <c r="A6812" t="inlineStr">
        <is>
          <t xml:space="preserve">news </t>
        </is>
      </c>
      <c r="B6812">
        <f>VLOOKUP(2474,Requirements!A2:B2967,2,FALSE)</f>
        <v/>
      </c>
    </row>
    <row r="6813">
      <c r="A6813" t="inlineStr">
        <is>
          <t xml:space="preserve">news </t>
        </is>
      </c>
      <c r="B6813">
        <f>VLOOKUP(2796,Requirements!A2:B2967,2,FALSE)</f>
        <v/>
      </c>
    </row>
    <row r="6814">
      <c r="A6814" t="inlineStr">
        <is>
          <t xml:space="preserve">news </t>
        </is>
      </c>
      <c r="B6814">
        <f>VLOOKUP(3131,Requirements!A2:B2967,2,FALSE)</f>
        <v/>
      </c>
    </row>
    <row r="6815">
      <c r="A6815" t="inlineStr">
        <is>
          <t xml:space="preserve">news </t>
        </is>
      </c>
      <c r="B6815">
        <f>VLOOKUP(3229,Requirements!A2:B2967,2,FALSE)</f>
        <v/>
      </c>
    </row>
    <row r="6816">
      <c r="A6816" t="inlineStr">
        <is>
          <t xml:space="preserve">dry </t>
        </is>
      </c>
      <c r="B6816">
        <f>VLOOKUP(67,Requirements!A2:B2967,2,FALSE)</f>
        <v/>
      </c>
    </row>
    <row r="6817">
      <c r="A6817" t="inlineStr">
        <is>
          <t xml:space="preserve">dry </t>
        </is>
      </c>
      <c r="B6817">
        <f>VLOOKUP(495,Requirements!A2:B2967,2,FALSE)</f>
        <v/>
      </c>
    </row>
    <row r="6818">
      <c r="A6818" t="inlineStr">
        <is>
          <t xml:space="preserve">dry </t>
        </is>
      </c>
      <c r="B6818">
        <f>VLOOKUP(580,Requirements!A2:B2967,2,FALSE)</f>
        <v/>
      </c>
    </row>
    <row r="6819">
      <c r="A6819" t="inlineStr">
        <is>
          <t xml:space="preserve">dry </t>
        </is>
      </c>
      <c r="B6819">
        <f>VLOOKUP(729,Requirements!A2:B2967,2,FALSE)</f>
        <v/>
      </c>
    </row>
    <row r="6820">
      <c r="A6820" t="inlineStr">
        <is>
          <t xml:space="preserve">dry </t>
        </is>
      </c>
      <c r="B6820">
        <f>VLOOKUP(1164,Requirements!A2:B2967,2,FALSE)</f>
        <v/>
      </c>
    </row>
    <row r="6821">
      <c r="A6821" t="inlineStr">
        <is>
          <t xml:space="preserve">dry </t>
        </is>
      </c>
      <c r="B6821">
        <f>VLOOKUP(1336,Requirements!A2:B2967,2,FALSE)</f>
        <v/>
      </c>
    </row>
    <row r="6822">
      <c r="A6822" t="inlineStr">
        <is>
          <t xml:space="preserve">dry </t>
        </is>
      </c>
      <c r="B6822">
        <f>VLOOKUP(1414,Requirements!A2:B2967,2,FALSE)</f>
        <v/>
      </c>
    </row>
    <row r="6823">
      <c r="A6823" t="inlineStr">
        <is>
          <t xml:space="preserve">dry </t>
        </is>
      </c>
      <c r="B6823">
        <f>VLOOKUP(1516,Requirements!A2:B2967,2,FALSE)</f>
        <v/>
      </c>
    </row>
    <row r="6824">
      <c r="A6824" t="inlineStr">
        <is>
          <t xml:space="preserve">dry </t>
        </is>
      </c>
      <c r="B6824">
        <f>VLOOKUP(2063,Requirements!A2:B2967,2,FALSE)</f>
        <v/>
      </c>
    </row>
    <row r="6825">
      <c r="A6825" t="inlineStr">
        <is>
          <t xml:space="preserve">dry </t>
        </is>
      </c>
      <c r="B6825">
        <f>VLOOKUP(2613,Requirements!A2:B2967,2,FALSE)</f>
        <v/>
      </c>
    </row>
    <row r="6826">
      <c r="A6826" t="inlineStr">
        <is>
          <t xml:space="preserve">dry </t>
        </is>
      </c>
      <c r="B6826">
        <f>VLOOKUP(2778,Requirements!A2:B2967,2,FALSE)</f>
        <v/>
      </c>
    </row>
    <row r="6827">
      <c r="A6827" t="inlineStr">
        <is>
          <t xml:space="preserve">dry </t>
        </is>
      </c>
      <c r="B6827">
        <f>VLOOKUP(2783,Requirements!A2:B2967,2,FALSE)</f>
        <v/>
      </c>
    </row>
    <row r="6828">
      <c r="A6828" t="inlineStr">
        <is>
          <t xml:space="preserve">dry </t>
        </is>
      </c>
      <c r="B6828">
        <f>VLOOKUP(2903,Requirements!A2:B2967,2,FALSE)</f>
        <v/>
      </c>
    </row>
    <row r="6829">
      <c r="A6829" t="inlineStr">
        <is>
          <t xml:space="preserve">dry </t>
        </is>
      </c>
      <c r="B6829">
        <f>VLOOKUP(2947,Requirements!A2:B2967,2,FALSE)</f>
        <v/>
      </c>
    </row>
    <row r="6830">
      <c r="A6830" t="inlineStr">
        <is>
          <t xml:space="preserve">dry </t>
        </is>
      </c>
      <c r="B6830">
        <f>VLOOKUP(3230,Requirements!A2:B2967,2,FALSE)</f>
        <v/>
      </c>
    </row>
    <row r="6831">
      <c r="A6831" t="inlineStr">
        <is>
          <t xml:space="preserve">new </t>
        </is>
      </c>
      <c r="B6831">
        <f>VLOOKUP(67,Requirements!A2:B2967,2,FALSE)</f>
        <v/>
      </c>
    </row>
    <row r="6832">
      <c r="A6832" t="inlineStr">
        <is>
          <t xml:space="preserve">new </t>
        </is>
      </c>
      <c r="B6832">
        <f>VLOOKUP(599,Requirements!A2:B2967,2,FALSE)</f>
        <v/>
      </c>
    </row>
    <row r="6833">
      <c r="A6833" t="inlineStr">
        <is>
          <t xml:space="preserve">new </t>
        </is>
      </c>
      <c r="B6833">
        <f>VLOOKUP(932,Requirements!A2:B2967,2,FALSE)</f>
        <v/>
      </c>
    </row>
    <row r="6834">
      <c r="A6834" t="inlineStr">
        <is>
          <t xml:space="preserve">new </t>
        </is>
      </c>
      <c r="B6834">
        <f>VLOOKUP(1003,Requirements!A2:B2967,2,FALSE)</f>
        <v/>
      </c>
    </row>
    <row r="6835">
      <c r="A6835" t="inlineStr">
        <is>
          <t xml:space="preserve">new </t>
        </is>
      </c>
      <c r="B6835">
        <f>VLOOKUP(1009,Requirements!A2:B2967,2,FALSE)</f>
        <v/>
      </c>
    </row>
    <row r="6836">
      <c r="A6836" t="inlineStr">
        <is>
          <t xml:space="preserve">new </t>
        </is>
      </c>
      <c r="B6836">
        <f>VLOOKUP(1021,Requirements!A2:B2967,2,FALSE)</f>
        <v/>
      </c>
    </row>
    <row r="6837">
      <c r="A6837" t="inlineStr">
        <is>
          <t xml:space="preserve">new </t>
        </is>
      </c>
      <c r="B6837">
        <f>VLOOKUP(1125,Requirements!A2:B2967,2,FALSE)</f>
        <v/>
      </c>
    </row>
    <row r="6838">
      <c r="A6838" t="inlineStr">
        <is>
          <t xml:space="preserve">new </t>
        </is>
      </c>
      <c r="B6838">
        <f>VLOOKUP(1532,Requirements!A2:B2967,2,FALSE)</f>
        <v/>
      </c>
    </row>
    <row r="6839">
      <c r="A6839" t="inlineStr">
        <is>
          <t xml:space="preserve">new </t>
        </is>
      </c>
      <c r="B6839">
        <f>VLOOKUP(2065,Requirements!A2:B2967,2,FALSE)</f>
        <v/>
      </c>
    </row>
    <row r="6840">
      <c r="A6840" t="inlineStr">
        <is>
          <t xml:space="preserve">new </t>
        </is>
      </c>
      <c r="B6840">
        <f>VLOOKUP(2281,Requirements!A2:B2967,2,FALSE)</f>
        <v/>
      </c>
    </row>
    <row r="6841">
      <c r="A6841" t="inlineStr">
        <is>
          <t xml:space="preserve">new </t>
        </is>
      </c>
      <c r="B6841">
        <f>VLOOKUP(2961,Requirements!A2:B2967,2,FALSE)</f>
        <v/>
      </c>
    </row>
    <row r="6842">
      <c r="A6842" t="inlineStr">
        <is>
          <t xml:space="preserve">new </t>
        </is>
      </c>
      <c r="B6842">
        <f>VLOOKUP(3255,Requirements!A2:B2967,2,FALSE)</f>
        <v/>
      </c>
    </row>
    <row r="6843">
      <c r="A6843" t="inlineStr">
        <is>
          <t xml:space="preserve">feature </t>
        </is>
      </c>
      <c r="B6843">
        <f>VLOOKUP(68,Requirements!A2:B2967,2,FALSE)</f>
        <v/>
      </c>
    </row>
    <row r="6844">
      <c r="A6844" t="inlineStr">
        <is>
          <t xml:space="preserve">feature </t>
        </is>
      </c>
      <c r="B6844">
        <f>VLOOKUP(550,Requirements!A2:B2967,2,FALSE)</f>
        <v/>
      </c>
    </row>
    <row r="6845">
      <c r="A6845" t="inlineStr">
        <is>
          <t xml:space="preserve">feature </t>
        </is>
      </c>
      <c r="B6845">
        <f>VLOOKUP(559,Requirements!A2:B2967,2,FALSE)</f>
        <v/>
      </c>
    </row>
    <row r="6846">
      <c r="A6846" t="inlineStr">
        <is>
          <t xml:space="preserve">feature </t>
        </is>
      </c>
      <c r="B6846">
        <f>VLOOKUP(564,Requirements!A2:B2967,2,FALSE)</f>
        <v/>
      </c>
    </row>
    <row r="6847">
      <c r="A6847" t="inlineStr">
        <is>
          <t xml:space="preserve">feature </t>
        </is>
      </c>
      <c r="B6847">
        <f>VLOOKUP(761,Requirements!A2:B2967,2,FALSE)</f>
        <v/>
      </c>
    </row>
    <row r="6848">
      <c r="A6848" t="inlineStr">
        <is>
          <t xml:space="preserve">feature </t>
        </is>
      </c>
      <c r="B6848">
        <f>VLOOKUP(867,Requirements!A2:B2967,2,FALSE)</f>
        <v/>
      </c>
    </row>
    <row r="6849">
      <c r="A6849" t="inlineStr">
        <is>
          <t xml:space="preserve">feature </t>
        </is>
      </c>
      <c r="B6849">
        <f>VLOOKUP(893,Requirements!A2:B2967,2,FALSE)</f>
        <v/>
      </c>
    </row>
    <row r="6850">
      <c r="A6850" t="inlineStr">
        <is>
          <t xml:space="preserve">feature </t>
        </is>
      </c>
      <c r="B6850">
        <f>VLOOKUP(900,Requirements!A2:B2967,2,FALSE)</f>
        <v/>
      </c>
    </row>
    <row r="6851">
      <c r="A6851" t="inlineStr">
        <is>
          <t xml:space="preserve">feature </t>
        </is>
      </c>
      <c r="B6851">
        <f>VLOOKUP(1000,Requirements!A2:B2967,2,FALSE)</f>
        <v/>
      </c>
    </row>
    <row r="6852">
      <c r="A6852" t="inlineStr">
        <is>
          <t xml:space="preserve">feature </t>
        </is>
      </c>
      <c r="B6852">
        <f>VLOOKUP(1030,Requirements!A2:B2967,2,FALSE)</f>
        <v/>
      </c>
    </row>
    <row r="6853">
      <c r="A6853" t="inlineStr">
        <is>
          <t xml:space="preserve">feature </t>
        </is>
      </c>
      <c r="B6853">
        <f>VLOOKUP(1106,Requirements!A2:B2967,2,FALSE)</f>
        <v/>
      </c>
    </row>
    <row r="6854">
      <c r="A6854" t="inlineStr">
        <is>
          <t xml:space="preserve">feature </t>
        </is>
      </c>
      <c r="B6854">
        <f>VLOOKUP(1141,Requirements!A2:B2967,2,FALSE)</f>
        <v/>
      </c>
    </row>
    <row r="6855">
      <c r="A6855" t="inlineStr">
        <is>
          <t xml:space="preserve">feature </t>
        </is>
      </c>
      <c r="B6855">
        <f>VLOOKUP(1143,Requirements!A2:B2967,2,FALSE)</f>
        <v/>
      </c>
    </row>
    <row r="6856">
      <c r="A6856" t="inlineStr">
        <is>
          <t xml:space="preserve">feature </t>
        </is>
      </c>
      <c r="B6856">
        <f>VLOOKUP(1196,Requirements!A2:B2967,2,FALSE)</f>
        <v/>
      </c>
    </row>
    <row r="6857">
      <c r="A6857" t="inlineStr">
        <is>
          <t xml:space="preserve">feature </t>
        </is>
      </c>
      <c r="B6857">
        <f>VLOOKUP(1200,Requirements!A2:B2967,2,FALSE)</f>
        <v/>
      </c>
    </row>
    <row r="6858">
      <c r="A6858" t="inlineStr">
        <is>
          <t xml:space="preserve">feature </t>
        </is>
      </c>
      <c r="B6858">
        <f>VLOOKUP(1518,Requirements!A2:B2967,2,FALSE)</f>
        <v/>
      </c>
    </row>
    <row r="6859">
      <c r="A6859" t="inlineStr">
        <is>
          <t xml:space="preserve">feature </t>
        </is>
      </c>
      <c r="B6859">
        <f>VLOOKUP(1564,Requirements!A2:B2967,2,FALSE)</f>
        <v/>
      </c>
    </row>
    <row r="6860">
      <c r="A6860" t="inlineStr">
        <is>
          <t xml:space="preserve">feature </t>
        </is>
      </c>
      <c r="B6860">
        <f>VLOOKUP(1594,Requirements!A2:B2967,2,FALSE)</f>
        <v/>
      </c>
    </row>
    <row r="6861">
      <c r="A6861" t="inlineStr">
        <is>
          <t xml:space="preserve">feature </t>
        </is>
      </c>
      <c r="B6861">
        <f>VLOOKUP(1617,Requirements!A2:B2967,2,FALSE)</f>
        <v/>
      </c>
    </row>
    <row r="6862">
      <c r="A6862" t="inlineStr">
        <is>
          <t xml:space="preserve">feature </t>
        </is>
      </c>
      <c r="B6862">
        <f>VLOOKUP(1668,Requirements!A2:B2967,2,FALSE)</f>
        <v/>
      </c>
    </row>
    <row r="6863">
      <c r="A6863" t="inlineStr">
        <is>
          <t xml:space="preserve">feature </t>
        </is>
      </c>
      <c r="B6863">
        <f>VLOOKUP(1884,Requirements!A2:B2967,2,FALSE)</f>
        <v/>
      </c>
    </row>
    <row r="6864">
      <c r="A6864" t="inlineStr">
        <is>
          <t xml:space="preserve">feature </t>
        </is>
      </c>
      <c r="B6864">
        <f>VLOOKUP(1975,Requirements!A2:B2967,2,FALSE)</f>
        <v/>
      </c>
    </row>
    <row r="6865">
      <c r="A6865" t="inlineStr">
        <is>
          <t xml:space="preserve">feature </t>
        </is>
      </c>
      <c r="B6865">
        <f>VLOOKUP(2137,Requirements!A2:B2967,2,FALSE)</f>
        <v/>
      </c>
    </row>
    <row r="6866">
      <c r="A6866" t="inlineStr">
        <is>
          <t xml:space="preserve">feature </t>
        </is>
      </c>
      <c r="B6866">
        <f>VLOOKUP(2237,Requirements!A2:B2967,2,FALSE)</f>
        <v/>
      </c>
    </row>
    <row r="6867">
      <c r="A6867" t="inlineStr">
        <is>
          <t xml:space="preserve">feature </t>
        </is>
      </c>
      <c r="B6867">
        <f>VLOOKUP(2241,Requirements!A2:B2967,2,FALSE)</f>
        <v/>
      </c>
    </row>
    <row r="6868">
      <c r="A6868" t="inlineStr">
        <is>
          <t xml:space="preserve">feature </t>
        </is>
      </c>
      <c r="B6868">
        <f>VLOOKUP(2246,Requirements!A2:B2967,2,FALSE)</f>
        <v/>
      </c>
    </row>
    <row r="6869">
      <c r="A6869" t="inlineStr">
        <is>
          <t xml:space="preserve">feature </t>
        </is>
      </c>
      <c r="B6869">
        <f>VLOOKUP(2247,Requirements!A2:B2967,2,FALSE)</f>
        <v/>
      </c>
    </row>
    <row r="6870">
      <c r="A6870" t="inlineStr">
        <is>
          <t xml:space="preserve">feature </t>
        </is>
      </c>
      <c r="B6870">
        <f>VLOOKUP(2248,Requirements!A2:B2967,2,FALSE)</f>
        <v/>
      </c>
    </row>
    <row r="6871">
      <c r="A6871" t="inlineStr">
        <is>
          <t xml:space="preserve">feature </t>
        </is>
      </c>
      <c r="B6871">
        <f>VLOOKUP(2251,Requirements!A2:B2967,2,FALSE)</f>
        <v/>
      </c>
    </row>
    <row r="6872">
      <c r="A6872" t="inlineStr">
        <is>
          <t xml:space="preserve">feature </t>
        </is>
      </c>
      <c r="B6872">
        <f>VLOOKUP(2256,Requirements!A2:B2967,2,FALSE)</f>
        <v/>
      </c>
    </row>
    <row r="6873">
      <c r="A6873" t="inlineStr">
        <is>
          <t xml:space="preserve">feature </t>
        </is>
      </c>
      <c r="B6873">
        <f>VLOOKUP(2259,Requirements!A2:B2967,2,FALSE)</f>
        <v/>
      </c>
    </row>
    <row r="6874">
      <c r="A6874" t="inlineStr">
        <is>
          <t xml:space="preserve">feature </t>
        </is>
      </c>
      <c r="B6874">
        <f>VLOOKUP(2270,Requirements!A2:B2967,2,FALSE)</f>
        <v/>
      </c>
    </row>
    <row r="6875">
      <c r="A6875" t="inlineStr">
        <is>
          <t xml:space="preserve">feature </t>
        </is>
      </c>
      <c r="B6875">
        <f>VLOOKUP(2275,Requirements!A2:B2967,2,FALSE)</f>
        <v/>
      </c>
    </row>
    <row r="6876">
      <c r="A6876" t="inlineStr">
        <is>
          <t xml:space="preserve">feature </t>
        </is>
      </c>
      <c r="B6876">
        <f>VLOOKUP(2547,Requirements!A2:B2967,2,FALSE)</f>
        <v/>
      </c>
    </row>
    <row r="6877">
      <c r="A6877" t="inlineStr">
        <is>
          <t xml:space="preserve">feature </t>
        </is>
      </c>
      <c r="B6877">
        <f>VLOOKUP(2550,Requirements!A2:B2967,2,FALSE)</f>
        <v/>
      </c>
    </row>
    <row r="6878">
      <c r="A6878" t="inlineStr">
        <is>
          <t xml:space="preserve">feature </t>
        </is>
      </c>
      <c r="B6878">
        <f>VLOOKUP(2648,Requirements!A2:B2967,2,FALSE)</f>
        <v/>
      </c>
    </row>
    <row r="6879">
      <c r="A6879" t="inlineStr">
        <is>
          <t xml:space="preserve">feature </t>
        </is>
      </c>
      <c r="B6879">
        <f>VLOOKUP(2654,Requirements!A2:B2967,2,FALSE)</f>
        <v/>
      </c>
    </row>
    <row r="6880">
      <c r="A6880" t="inlineStr">
        <is>
          <t xml:space="preserve">feature </t>
        </is>
      </c>
      <c r="B6880">
        <f>VLOOKUP(2681,Requirements!A2:B2967,2,FALSE)</f>
        <v/>
      </c>
    </row>
    <row r="6881">
      <c r="A6881" t="inlineStr">
        <is>
          <t xml:space="preserve">feature </t>
        </is>
      </c>
      <c r="B6881">
        <f>VLOOKUP(2685,Requirements!A2:B2967,2,FALSE)</f>
        <v/>
      </c>
    </row>
    <row r="6882">
      <c r="A6882" t="inlineStr">
        <is>
          <t xml:space="preserve">feature </t>
        </is>
      </c>
      <c r="B6882">
        <f>VLOOKUP(2688,Requirements!A2:B2967,2,FALSE)</f>
        <v/>
      </c>
    </row>
    <row r="6883">
      <c r="A6883" t="inlineStr">
        <is>
          <t xml:space="preserve">feature </t>
        </is>
      </c>
      <c r="B6883">
        <f>VLOOKUP(2712,Requirements!A2:B2967,2,FALSE)</f>
        <v/>
      </c>
    </row>
    <row r="6884">
      <c r="A6884" t="inlineStr">
        <is>
          <t xml:space="preserve">feature </t>
        </is>
      </c>
      <c r="B6884">
        <f>VLOOKUP(2934,Requirements!A2:B2967,2,FALSE)</f>
        <v/>
      </c>
    </row>
    <row r="6885">
      <c r="A6885" t="inlineStr">
        <is>
          <t xml:space="preserve">feature </t>
        </is>
      </c>
      <c r="B6885">
        <f>VLOOKUP(3143,Requirements!A2:B2967,2,FALSE)</f>
        <v/>
      </c>
    </row>
    <row r="6886">
      <c r="A6886" t="inlineStr">
        <is>
          <t xml:space="preserve">feature </t>
        </is>
      </c>
      <c r="B6886">
        <f>VLOOKUP(3185,Requirements!A2:B2967,2,FALSE)</f>
        <v/>
      </c>
    </row>
    <row r="6887">
      <c r="A6887" t="inlineStr">
        <is>
          <t xml:space="preserve">comfort </t>
        </is>
      </c>
      <c r="B6887">
        <f>VLOOKUP(68,Requirements!A2:B2967,2,FALSE)</f>
        <v/>
      </c>
    </row>
    <row r="6888">
      <c r="A6888" t="inlineStr">
        <is>
          <t xml:space="preserve">comfort </t>
        </is>
      </c>
      <c r="B6888">
        <f>VLOOKUP(1075,Requirements!A2:B2967,2,FALSE)</f>
        <v/>
      </c>
    </row>
    <row r="6889">
      <c r="A6889" t="inlineStr">
        <is>
          <t xml:space="preserve">comfort </t>
        </is>
      </c>
      <c r="B6889">
        <f>VLOOKUP(1550,Requirements!A2:B2967,2,FALSE)</f>
        <v/>
      </c>
    </row>
    <row r="6890">
      <c r="A6890" t="inlineStr">
        <is>
          <t xml:space="preserve">comfort </t>
        </is>
      </c>
      <c r="B6890">
        <f>VLOOKUP(2002,Requirements!A2:B2967,2,FALSE)</f>
        <v/>
      </c>
    </row>
    <row r="6891">
      <c r="A6891" t="inlineStr">
        <is>
          <t xml:space="preserve">comfort </t>
        </is>
      </c>
      <c r="B6891">
        <f>VLOOKUP(3172,Requirements!A2:B2967,2,FALSE)</f>
        <v/>
      </c>
    </row>
    <row r="6892">
      <c r="A6892" t="inlineStr">
        <is>
          <t xml:space="preserve">comfort </t>
        </is>
      </c>
      <c r="B6892">
        <f>VLOOKUP(3177,Requirements!A2:B2967,2,FALSE)</f>
        <v/>
      </c>
    </row>
    <row r="6893">
      <c r="A6893" t="inlineStr">
        <is>
          <t xml:space="preserve">comfort </t>
        </is>
      </c>
      <c r="B6893">
        <f>VLOOKUP(3179,Requirements!A2:B2967,2,FALSE)</f>
        <v/>
      </c>
    </row>
    <row r="6894">
      <c r="A6894" t="inlineStr">
        <is>
          <t xml:space="preserve">healthy </t>
        </is>
      </c>
      <c r="B6894">
        <f>VLOOKUP(69,Requirements!A2:B2967,2,FALSE)</f>
        <v/>
      </c>
    </row>
    <row r="6895">
      <c r="A6895" t="inlineStr">
        <is>
          <t xml:space="preserve">healthy </t>
        </is>
      </c>
      <c r="B6895">
        <f>VLOOKUP(73,Requirements!A2:B2967,2,FALSE)</f>
        <v/>
      </c>
    </row>
    <row r="6896">
      <c r="A6896" t="inlineStr">
        <is>
          <t xml:space="preserve">healthy </t>
        </is>
      </c>
      <c r="B6896">
        <f>VLOOKUP(258,Requirements!A2:B2967,2,FALSE)</f>
        <v/>
      </c>
    </row>
    <row r="6897">
      <c r="A6897" t="inlineStr">
        <is>
          <t xml:space="preserve">healthy </t>
        </is>
      </c>
      <c r="B6897">
        <f>VLOOKUP(300,Requirements!A2:B2967,2,FALSE)</f>
        <v/>
      </c>
    </row>
    <row r="6898">
      <c r="A6898" t="inlineStr">
        <is>
          <t xml:space="preserve">healthy </t>
        </is>
      </c>
      <c r="B6898">
        <f>VLOOKUP(446,Requirements!A2:B2967,2,FALSE)</f>
        <v/>
      </c>
    </row>
    <row r="6899">
      <c r="A6899" t="inlineStr">
        <is>
          <t xml:space="preserve">healthy </t>
        </is>
      </c>
      <c r="B6899">
        <f>VLOOKUP(448,Requirements!A2:B2967,2,FALSE)</f>
        <v/>
      </c>
    </row>
    <row r="6900">
      <c r="A6900" t="inlineStr">
        <is>
          <t xml:space="preserve">healthy </t>
        </is>
      </c>
      <c r="B6900">
        <f>VLOOKUP(495,Requirements!A2:B2967,2,FALSE)</f>
        <v/>
      </c>
    </row>
    <row r="6901">
      <c r="A6901" t="inlineStr">
        <is>
          <t xml:space="preserve">healthy </t>
        </is>
      </c>
      <c r="B6901">
        <f>VLOOKUP(584,Requirements!A2:B2967,2,FALSE)</f>
        <v/>
      </c>
    </row>
    <row r="6902">
      <c r="A6902" t="inlineStr">
        <is>
          <t xml:space="preserve">healthy </t>
        </is>
      </c>
      <c r="B6902">
        <f>VLOOKUP(618,Requirements!A2:B2967,2,FALSE)</f>
        <v/>
      </c>
    </row>
    <row r="6903">
      <c r="A6903" t="inlineStr">
        <is>
          <t xml:space="preserve">healthy </t>
        </is>
      </c>
      <c r="B6903">
        <f>VLOOKUP(629,Requirements!A2:B2967,2,FALSE)</f>
        <v/>
      </c>
    </row>
    <row r="6904">
      <c r="A6904" t="inlineStr">
        <is>
          <t xml:space="preserve">healthy </t>
        </is>
      </c>
      <c r="B6904">
        <f>VLOOKUP(631,Requirements!A2:B2967,2,FALSE)</f>
        <v/>
      </c>
    </row>
    <row r="6905">
      <c r="A6905" t="inlineStr">
        <is>
          <t xml:space="preserve">healthy </t>
        </is>
      </c>
      <c r="B6905">
        <f>VLOOKUP(653,Requirements!A2:B2967,2,FALSE)</f>
        <v/>
      </c>
    </row>
    <row r="6906">
      <c r="A6906" t="inlineStr">
        <is>
          <t xml:space="preserve">healthy </t>
        </is>
      </c>
      <c r="B6906">
        <f>VLOOKUP(891,Requirements!A2:B2967,2,FALSE)</f>
        <v/>
      </c>
    </row>
    <row r="6907">
      <c r="A6907" t="inlineStr">
        <is>
          <t xml:space="preserve">healthy </t>
        </is>
      </c>
      <c r="B6907">
        <f>VLOOKUP(983,Requirements!A2:B2967,2,FALSE)</f>
        <v/>
      </c>
    </row>
    <row r="6908">
      <c r="A6908" t="inlineStr">
        <is>
          <t xml:space="preserve">healthy </t>
        </is>
      </c>
      <c r="B6908">
        <f>VLOOKUP(1023,Requirements!A2:B2967,2,FALSE)</f>
        <v/>
      </c>
    </row>
    <row r="6909">
      <c r="A6909" t="inlineStr">
        <is>
          <t xml:space="preserve">healthy </t>
        </is>
      </c>
      <c r="B6909">
        <f>VLOOKUP(1176,Requirements!A2:B2967,2,FALSE)</f>
        <v/>
      </c>
    </row>
    <row r="6910">
      <c r="A6910" t="inlineStr">
        <is>
          <t xml:space="preserve">healthy </t>
        </is>
      </c>
      <c r="B6910">
        <f>VLOOKUP(1252,Requirements!A2:B2967,2,FALSE)</f>
        <v/>
      </c>
    </row>
    <row r="6911">
      <c r="A6911" t="inlineStr">
        <is>
          <t xml:space="preserve">healthy </t>
        </is>
      </c>
      <c r="B6911">
        <f>VLOOKUP(1266,Requirements!A2:B2967,2,FALSE)</f>
        <v/>
      </c>
    </row>
    <row r="6912">
      <c r="A6912" t="inlineStr">
        <is>
          <t xml:space="preserve">healthy </t>
        </is>
      </c>
      <c r="B6912">
        <f>VLOOKUP(1297,Requirements!A2:B2967,2,FALSE)</f>
        <v/>
      </c>
    </row>
    <row r="6913">
      <c r="A6913" t="inlineStr">
        <is>
          <t xml:space="preserve">healthy </t>
        </is>
      </c>
      <c r="B6913">
        <f>VLOOKUP(1320,Requirements!A2:B2967,2,FALSE)</f>
        <v/>
      </c>
    </row>
    <row r="6914">
      <c r="A6914" t="inlineStr">
        <is>
          <t xml:space="preserve">healthy </t>
        </is>
      </c>
      <c r="B6914">
        <f>VLOOKUP(1343,Requirements!A2:B2967,2,FALSE)</f>
        <v/>
      </c>
    </row>
    <row r="6915">
      <c r="A6915" t="inlineStr">
        <is>
          <t xml:space="preserve">healthy </t>
        </is>
      </c>
      <c r="B6915">
        <f>VLOOKUP(1389,Requirements!A2:B2967,2,FALSE)</f>
        <v/>
      </c>
    </row>
    <row r="6916">
      <c r="A6916" t="inlineStr">
        <is>
          <t xml:space="preserve">healthy </t>
        </is>
      </c>
      <c r="B6916">
        <f>VLOOKUP(1503,Requirements!A2:B2967,2,FALSE)</f>
        <v/>
      </c>
    </row>
    <row r="6917">
      <c r="A6917" t="inlineStr">
        <is>
          <t xml:space="preserve">healthy </t>
        </is>
      </c>
      <c r="B6917">
        <f>VLOOKUP(1586,Requirements!A2:B2967,2,FALSE)</f>
        <v/>
      </c>
    </row>
    <row r="6918">
      <c r="A6918" t="inlineStr">
        <is>
          <t xml:space="preserve">healthy </t>
        </is>
      </c>
      <c r="B6918">
        <f>VLOOKUP(1591,Requirements!A2:B2967,2,FALSE)</f>
        <v/>
      </c>
    </row>
    <row r="6919">
      <c r="A6919" t="inlineStr">
        <is>
          <t xml:space="preserve">healthy </t>
        </is>
      </c>
      <c r="B6919">
        <f>VLOOKUP(1613,Requirements!A2:B2967,2,FALSE)</f>
        <v/>
      </c>
    </row>
    <row r="6920">
      <c r="A6920" t="inlineStr">
        <is>
          <t xml:space="preserve">healthy </t>
        </is>
      </c>
      <c r="B6920">
        <f>VLOOKUP(1710,Requirements!A2:B2967,2,FALSE)</f>
        <v/>
      </c>
    </row>
    <row r="6921">
      <c r="A6921" t="inlineStr">
        <is>
          <t xml:space="preserve">healthy </t>
        </is>
      </c>
      <c r="B6921">
        <f>VLOOKUP(1735,Requirements!A2:B2967,2,FALSE)</f>
        <v/>
      </c>
    </row>
    <row r="6922">
      <c r="A6922" t="inlineStr">
        <is>
          <t xml:space="preserve">healthy </t>
        </is>
      </c>
      <c r="B6922">
        <f>VLOOKUP(1897,Requirements!A2:B2967,2,FALSE)</f>
        <v/>
      </c>
    </row>
    <row r="6923">
      <c r="A6923" t="inlineStr">
        <is>
          <t xml:space="preserve">healthy </t>
        </is>
      </c>
      <c r="B6923">
        <f>VLOOKUP(2665,Requirements!A2:B2967,2,FALSE)</f>
        <v/>
      </c>
    </row>
    <row r="6924">
      <c r="A6924" t="inlineStr">
        <is>
          <t xml:space="preserve">healthy </t>
        </is>
      </c>
      <c r="B6924">
        <f>VLOOKUP(3048,Requirements!A2:B2967,2,FALSE)</f>
        <v/>
      </c>
    </row>
    <row r="6925">
      <c r="A6925" t="inlineStr">
        <is>
          <t xml:space="preserve">healthy </t>
        </is>
      </c>
      <c r="B6925">
        <f>VLOOKUP(3176,Requirements!A2:B2967,2,FALSE)</f>
        <v/>
      </c>
    </row>
    <row r="6926">
      <c r="A6926" t="inlineStr">
        <is>
          <t xml:space="preserve">body </t>
        </is>
      </c>
      <c r="B6926">
        <f>VLOOKUP(69,Requirements!A2:B2967,2,FALSE)</f>
        <v/>
      </c>
    </row>
    <row r="6927">
      <c r="A6927" t="inlineStr">
        <is>
          <t xml:space="preserve">body </t>
        </is>
      </c>
      <c r="B6927">
        <f>VLOOKUP(258,Requirements!A2:B2967,2,FALSE)</f>
        <v/>
      </c>
    </row>
    <row r="6928">
      <c r="A6928" t="inlineStr">
        <is>
          <t xml:space="preserve">body </t>
        </is>
      </c>
      <c r="B6928">
        <f>VLOOKUP(834,Requirements!A2:B2967,2,FALSE)</f>
        <v/>
      </c>
    </row>
    <row r="6929">
      <c r="A6929" t="inlineStr">
        <is>
          <t xml:space="preserve">body </t>
        </is>
      </c>
      <c r="B6929">
        <f>VLOOKUP(1297,Requirements!A2:B2967,2,FALSE)</f>
        <v/>
      </c>
    </row>
    <row r="6930">
      <c r="A6930" t="inlineStr">
        <is>
          <t xml:space="preserve">body </t>
        </is>
      </c>
      <c r="B6930">
        <f>VLOOKUP(1836,Requirements!A2:B2967,2,FALSE)</f>
        <v/>
      </c>
    </row>
    <row r="6931">
      <c r="A6931" t="inlineStr">
        <is>
          <t xml:space="preserve">body </t>
        </is>
      </c>
      <c r="B6931">
        <f>VLOOKUP(1860,Requirements!A2:B2967,2,FALSE)</f>
        <v/>
      </c>
    </row>
    <row r="6932">
      <c r="A6932" t="inlineStr">
        <is>
          <t xml:space="preserve">body </t>
        </is>
      </c>
      <c r="B6932">
        <f>VLOOKUP(1864,Requirements!A2:B2967,2,FALSE)</f>
        <v/>
      </c>
    </row>
    <row r="6933">
      <c r="A6933" t="inlineStr">
        <is>
          <t xml:space="preserve">body </t>
        </is>
      </c>
      <c r="B6933">
        <f>VLOOKUP(1911,Requirements!A2:B2967,2,FALSE)</f>
        <v/>
      </c>
    </row>
    <row r="6934">
      <c r="A6934" t="inlineStr">
        <is>
          <t xml:space="preserve">body </t>
        </is>
      </c>
      <c r="B6934">
        <f>VLOOKUP(2275,Requirements!A2:B2967,2,FALSE)</f>
        <v/>
      </c>
    </row>
    <row r="6935">
      <c r="A6935" t="inlineStr">
        <is>
          <t xml:space="preserve">body </t>
        </is>
      </c>
      <c r="B6935">
        <f>VLOOKUP(2929,Requirements!A2:B2967,2,FALSE)</f>
        <v/>
      </c>
    </row>
    <row r="6936">
      <c r="A6936" t="inlineStr">
        <is>
          <t xml:space="preserve">daily </t>
        </is>
      </c>
      <c r="B6936">
        <f>VLOOKUP(69,Requirements!A2:B2967,2,FALSE)</f>
        <v/>
      </c>
    </row>
    <row r="6937">
      <c r="A6937" t="inlineStr">
        <is>
          <t xml:space="preserve">daily </t>
        </is>
      </c>
      <c r="B6937">
        <f>VLOOKUP(771,Requirements!A2:B2967,2,FALSE)</f>
        <v/>
      </c>
    </row>
    <row r="6938">
      <c r="A6938" t="inlineStr">
        <is>
          <t xml:space="preserve">daily </t>
        </is>
      </c>
      <c r="B6938">
        <f>VLOOKUP(898,Requirements!A2:B2967,2,FALSE)</f>
        <v/>
      </c>
    </row>
    <row r="6939">
      <c r="A6939" t="inlineStr">
        <is>
          <t xml:space="preserve">daily </t>
        </is>
      </c>
      <c r="B6939">
        <f>VLOOKUP(946,Requirements!A2:B2967,2,FALSE)</f>
        <v/>
      </c>
    </row>
    <row r="6940">
      <c r="A6940" t="inlineStr">
        <is>
          <t xml:space="preserve">daily </t>
        </is>
      </c>
      <c r="B6940">
        <f>VLOOKUP(1206,Requirements!A2:B2967,2,FALSE)</f>
        <v/>
      </c>
    </row>
    <row r="6941">
      <c r="A6941" t="inlineStr">
        <is>
          <t xml:space="preserve">daily </t>
        </is>
      </c>
      <c r="B6941">
        <f>VLOOKUP(1610,Requirements!A2:B2967,2,FALSE)</f>
        <v/>
      </c>
    </row>
    <row r="6942">
      <c r="A6942" t="inlineStr">
        <is>
          <t xml:space="preserve">daily </t>
        </is>
      </c>
      <c r="B6942">
        <f>VLOOKUP(1693,Requirements!A2:B2967,2,FALSE)</f>
        <v/>
      </c>
    </row>
    <row r="6943">
      <c r="A6943" t="inlineStr">
        <is>
          <t xml:space="preserve">daily </t>
        </is>
      </c>
      <c r="B6943">
        <f>VLOOKUP(1737,Requirements!A2:B2967,2,FALSE)</f>
        <v/>
      </c>
    </row>
    <row r="6944">
      <c r="A6944" t="inlineStr">
        <is>
          <t xml:space="preserve">daily </t>
        </is>
      </c>
      <c r="B6944">
        <f>VLOOKUP(2066,Requirements!A2:B2967,2,FALSE)</f>
        <v/>
      </c>
    </row>
    <row r="6945">
      <c r="A6945" t="inlineStr">
        <is>
          <t xml:space="preserve">daily </t>
        </is>
      </c>
      <c r="B6945">
        <f>VLOOKUP(2179,Requirements!A2:B2967,2,FALSE)</f>
        <v/>
      </c>
    </row>
    <row r="6946">
      <c r="A6946" t="inlineStr">
        <is>
          <t xml:space="preserve">daily </t>
        </is>
      </c>
      <c r="B6946">
        <f>VLOOKUP(2460,Requirements!A2:B2967,2,FALSE)</f>
        <v/>
      </c>
    </row>
    <row r="6947">
      <c r="A6947" t="inlineStr">
        <is>
          <t xml:space="preserve">daily </t>
        </is>
      </c>
      <c r="B6947">
        <f>VLOOKUP(3158,Requirements!A2:B2967,2,FALSE)</f>
        <v/>
      </c>
    </row>
    <row r="6948">
      <c r="A6948" t="inlineStr">
        <is>
          <t xml:space="preserve">gas </t>
        </is>
      </c>
      <c r="B6948">
        <f>VLOOKUP(72,Requirements!A2:B2967,2,FALSE)</f>
        <v/>
      </c>
    </row>
    <row r="6949">
      <c r="A6949" t="inlineStr">
        <is>
          <t xml:space="preserve">gas </t>
        </is>
      </c>
      <c r="B6949">
        <f>VLOOKUP(208,Requirements!A2:B2967,2,FALSE)</f>
        <v/>
      </c>
    </row>
    <row r="6950">
      <c r="A6950" t="inlineStr">
        <is>
          <t xml:space="preserve">gas </t>
        </is>
      </c>
      <c r="B6950">
        <f>VLOOKUP(284,Requirements!A2:B2967,2,FALSE)</f>
        <v/>
      </c>
    </row>
    <row r="6951">
      <c r="A6951" t="inlineStr">
        <is>
          <t xml:space="preserve">gas </t>
        </is>
      </c>
      <c r="B6951">
        <f>VLOOKUP(451,Requirements!A2:B2967,2,FALSE)</f>
        <v/>
      </c>
    </row>
    <row r="6952">
      <c r="A6952" t="inlineStr">
        <is>
          <t xml:space="preserve">gas </t>
        </is>
      </c>
      <c r="B6952">
        <f>VLOOKUP(623,Requirements!A2:B2967,2,FALSE)</f>
        <v/>
      </c>
    </row>
    <row r="6953">
      <c r="A6953" t="inlineStr">
        <is>
          <t xml:space="preserve">gas </t>
        </is>
      </c>
      <c r="B6953">
        <f>VLOOKUP(984,Requirements!A2:B2967,2,FALSE)</f>
        <v/>
      </c>
    </row>
    <row r="6954">
      <c r="A6954" t="inlineStr">
        <is>
          <t xml:space="preserve">gas </t>
        </is>
      </c>
      <c r="B6954">
        <f>VLOOKUP(1001,Requirements!A2:B2967,2,FALSE)</f>
        <v/>
      </c>
    </row>
    <row r="6955">
      <c r="A6955" t="inlineStr">
        <is>
          <t xml:space="preserve">gas </t>
        </is>
      </c>
      <c r="B6955">
        <f>VLOOKUP(1021,Requirements!A2:B2967,2,FALSE)</f>
        <v/>
      </c>
    </row>
    <row r="6956">
      <c r="A6956" t="inlineStr">
        <is>
          <t xml:space="preserve">gas </t>
        </is>
      </c>
      <c r="B6956">
        <f>VLOOKUP(1217,Requirements!A2:B2967,2,FALSE)</f>
        <v/>
      </c>
    </row>
    <row r="6957">
      <c r="A6957" t="inlineStr">
        <is>
          <t xml:space="preserve">gas </t>
        </is>
      </c>
      <c r="B6957">
        <f>VLOOKUP(1830,Requirements!A2:B2967,2,FALSE)</f>
        <v/>
      </c>
    </row>
    <row r="6958">
      <c r="A6958" t="inlineStr">
        <is>
          <t xml:space="preserve">gas </t>
        </is>
      </c>
      <c r="B6958">
        <f>VLOOKUP(2019,Requirements!A2:B2967,2,FALSE)</f>
        <v/>
      </c>
    </row>
    <row r="6959">
      <c r="A6959" t="inlineStr">
        <is>
          <t xml:space="preserve">gas </t>
        </is>
      </c>
      <c r="B6959">
        <f>VLOOKUP(2573,Requirements!A2:B2967,2,FALSE)</f>
        <v/>
      </c>
    </row>
    <row r="6960">
      <c r="A6960" t="inlineStr">
        <is>
          <t xml:space="preserve">gas </t>
        </is>
      </c>
      <c r="B6960">
        <f>VLOOKUP(2959,Requirements!A2:B2967,2,FALSE)</f>
        <v/>
      </c>
    </row>
    <row r="6961">
      <c r="A6961" t="inlineStr">
        <is>
          <t xml:space="preserve">gas </t>
        </is>
      </c>
      <c r="B6961">
        <f>VLOOKUP(2991,Requirements!A2:B2967,2,FALSE)</f>
        <v/>
      </c>
    </row>
    <row r="6962">
      <c r="A6962" t="inlineStr">
        <is>
          <t xml:space="preserve">gas </t>
        </is>
      </c>
      <c r="B6962">
        <f>VLOOKUP(3180,Requirements!A2:B2967,2,FALSE)</f>
        <v/>
      </c>
    </row>
    <row r="6963">
      <c r="A6963" t="inlineStr">
        <is>
          <t xml:space="preserve">activity </t>
        </is>
      </c>
      <c r="B6963">
        <f>VLOOKUP(73,Requirements!A2:B2967,2,FALSE)</f>
        <v/>
      </c>
    </row>
    <row r="6964">
      <c r="A6964" t="inlineStr">
        <is>
          <t xml:space="preserve">activity </t>
        </is>
      </c>
      <c r="B6964">
        <f>VLOOKUP(256,Requirements!A2:B2967,2,FALSE)</f>
        <v/>
      </c>
    </row>
    <row r="6965">
      <c r="A6965" t="inlineStr">
        <is>
          <t xml:space="preserve">activity </t>
        </is>
      </c>
      <c r="B6965">
        <f>VLOOKUP(263,Requirements!A2:B2967,2,FALSE)</f>
        <v/>
      </c>
    </row>
    <row r="6966">
      <c r="A6966" t="inlineStr">
        <is>
          <t xml:space="preserve">activity </t>
        </is>
      </c>
      <c r="B6966">
        <f>VLOOKUP(420,Requirements!A2:B2967,2,FALSE)</f>
        <v/>
      </c>
    </row>
    <row r="6967">
      <c r="A6967" t="inlineStr">
        <is>
          <t xml:space="preserve">activity </t>
        </is>
      </c>
      <c r="B6967">
        <f>VLOOKUP(632,Requirements!A2:B2967,2,FALSE)</f>
        <v/>
      </c>
    </row>
    <row r="6968">
      <c r="A6968" t="inlineStr">
        <is>
          <t xml:space="preserve">activity </t>
        </is>
      </c>
      <c r="B6968">
        <f>VLOOKUP(637,Requirements!A2:B2967,2,FALSE)</f>
        <v/>
      </c>
    </row>
    <row r="6969">
      <c r="A6969" t="inlineStr">
        <is>
          <t xml:space="preserve">activity </t>
        </is>
      </c>
      <c r="B6969">
        <f>VLOOKUP(796,Requirements!A2:B2967,2,FALSE)</f>
        <v/>
      </c>
    </row>
    <row r="6970">
      <c r="A6970" t="inlineStr">
        <is>
          <t xml:space="preserve">activity </t>
        </is>
      </c>
      <c r="B6970">
        <f>VLOOKUP(881,Requirements!A2:B2967,2,FALSE)</f>
        <v/>
      </c>
    </row>
    <row r="6971">
      <c r="A6971" t="inlineStr">
        <is>
          <t xml:space="preserve">activity </t>
        </is>
      </c>
      <c r="B6971">
        <f>VLOOKUP(1063,Requirements!A2:B2967,2,FALSE)</f>
        <v/>
      </c>
    </row>
    <row r="6972">
      <c r="A6972" t="inlineStr">
        <is>
          <t xml:space="preserve">activity </t>
        </is>
      </c>
      <c r="B6972">
        <f>VLOOKUP(1128,Requirements!A2:B2967,2,FALSE)</f>
        <v/>
      </c>
    </row>
    <row r="6973">
      <c r="A6973" t="inlineStr">
        <is>
          <t xml:space="preserve">activity </t>
        </is>
      </c>
      <c r="B6973">
        <f>VLOOKUP(1556,Requirements!A2:B2967,2,FALSE)</f>
        <v/>
      </c>
    </row>
    <row r="6974">
      <c r="A6974" t="inlineStr">
        <is>
          <t xml:space="preserve">activity </t>
        </is>
      </c>
      <c r="B6974">
        <f>VLOOKUP(1915,Requirements!A2:B2967,2,FALSE)</f>
        <v/>
      </c>
    </row>
    <row r="6975">
      <c r="A6975" t="inlineStr">
        <is>
          <t xml:space="preserve">activity </t>
        </is>
      </c>
      <c r="B6975">
        <f>VLOOKUP(1994,Requirements!A2:B2967,2,FALSE)</f>
        <v/>
      </c>
    </row>
    <row r="6976">
      <c r="A6976" t="inlineStr">
        <is>
          <t xml:space="preserve">activity </t>
        </is>
      </c>
      <c r="B6976">
        <f>VLOOKUP(2449,Requirements!A2:B2967,2,FALSE)</f>
        <v/>
      </c>
    </row>
    <row r="6977">
      <c r="A6977" t="inlineStr">
        <is>
          <t xml:space="preserve">activity </t>
        </is>
      </c>
      <c r="B6977">
        <f>VLOOKUP(2888,Requirements!A2:B2967,2,FALSE)</f>
        <v/>
      </c>
    </row>
    <row r="6978">
      <c r="A6978" t="inlineStr">
        <is>
          <t xml:space="preserve">nice </t>
        </is>
      </c>
      <c r="B6978">
        <f>VLOOKUP(73,Requirements!A2:B2967,2,FALSE)</f>
        <v/>
      </c>
    </row>
    <row r="6979">
      <c r="A6979" t="inlineStr">
        <is>
          <t xml:space="preserve">nice </t>
        </is>
      </c>
      <c r="B6979">
        <f>VLOOKUP(967,Requirements!A2:B2967,2,FALSE)</f>
        <v/>
      </c>
    </row>
    <row r="6980">
      <c r="A6980" t="inlineStr">
        <is>
          <t xml:space="preserve">nice </t>
        </is>
      </c>
      <c r="B6980">
        <f>VLOOKUP(1277,Requirements!A2:B2967,2,FALSE)</f>
        <v/>
      </c>
    </row>
    <row r="6981">
      <c r="A6981" t="inlineStr">
        <is>
          <t xml:space="preserve">nice </t>
        </is>
      </c>
      <c r="B6981">
        <f>VLOOKUP(1373,Requirements!A2:B2967,2,FALSE)</f>
        <v/>
      </c>
    </row>
    <row r="6982">
      <c r="A6982" t="inlineStr">
        <is>
          <t xml:space="preserve">nice </t>
        </is>
      </c>
      <c r="B6982">
        <f>VLOOKUP(1503,Requirements!A2:B2967,2,FALSE)</f>
        <v/>
      </c>
    </row>
    <row r="6983">
      <c r="A6983" t="inlineStr">
        <is>
          <t xml:space="preserve">nice </t>
        </is>
      </c>
      <c r="B6983">
        <f>VLOOKUP(1618,Requirements!A2:B2967,2,FALSE)</f>
        <v/>
      </c>
    </row>
    <row r="6984">
      <c r="A6984" t="inlineStr">
        <is>
          <t xml:space="preserve">nice </t>
        </is>
      </c>
      <c r="B6984">
        <f>VLOOKUP(1635,Requirements!A2:B2967,2,FALSE)</f>
        <v/>
      </c>
    </row>
    <row r="6985">
      <c r="A6985" t="inlineStr">
        <is>
          <t xml:space="preserve">nice </t>
        </is>
      </c>
      <c r="B6985">
        <f>VLOOKUP(1953,Requirements!A2:B2967,2,FALSE)</f>
        <v/>
      </c>
    </row>
    <row r="6986">
      <c r="A6986" t="inlineStr">
        <is>
          <t xml:space="preserve">nice </t>
        </is>
      </c>
      <c r="B6986">
        <f>VLOOKUP(2685,Requirements!A2:B2967,2,FALSE)</f>
        <v/>
      </c>
    </row>
    <row r="6987">
      <c r="A6987" t="inlineStr">
        <is>
          <t xml:space="preserve">nice </t>
        </is>
      </c>
      <c r="B6987">
        <f>VLOOKUP(3215,Requirements!A2:B2967,2,FALSE)</f>
        <v/>
      </c>
    </row>
    <row r="6988">
      <c r="A6988" t="inlineStr">
        <is>
          <t xml:space="preserve">nice </t>
        </is>
      </c>
      <c r="B6988">
        <f>VLOOKUP(3231,Requirements!A2:B2967,2,FALSE)</f>
        <v/>
      </c>
    </row>
    <row r="6989">
      <c r="A6989" t="inlineStr">
        <is>
          <t xml:space="preserve">health </t>
        </is>
      </c>
      <c r="B6989">
        <f>VLOOKUP(73,Requirements!A2:B2967,2,FALSE)</f>
        <v/>
      </c>
    </row>
    <row r="6990">
      <c r="A6990" t="inlineStr">
        <is>
          <t xml:space="preserve">health </t>
        </is>
      </c>
      <c r="B6990">
        <f>VLOOKUP(141,Requirements!A2:B2967,2,FALSE)</f>
        <v/>
      </c>
    </row>
    <row r="6991">
      <c r="A6991" t="inlineStr">
        <is>
          <t xml:space="preserve">health </t>
        </is>
      </c>
      <c r="B6991">
        <f>VLOOKUP(184,Requirements!A2:B2967,2,FALSE)</f>
        <v/>
      </c>
    </row>
    <row r="6992">
      <c r="A6992" t="inlineStr">
        <is>
          <t xml:space="preserve">health </t>
        </is>
      </c>
      <c r="B6992">
        <f>VLOOKUP(221,Requirements!A2:B2967,2,FALSE)</f>
        <v/>
      </c>
    </row>
    <row r="6993">
      <c r="A6993" t="inlineStr">
        <is>
          <t xml:space="preserve">health </t>
        </is>
      </c>
      <c r="B6993">
        <f>VLOOKUP(300,Requirements!A2:B2967,2,FALSE)</f>
        <v/>
      </c>
    </row>
    <row r="6994">
      <c r="A6994" t="inlineStr">
        <is>
          <t xml:space="preserve">health </t>
        </is>
      </c>
      <c r="B6994">
        <f>VLOOKUP(446,Requirements!A2:B2967,2,FALSE)</f>
        <v/>
      </c>
    </row>
    <row r="6995">
      <c r="A6995" t="inlineStr">
        <is>
          <t xml:space="preserve">health </t>
        </is>
      </c>
      <c r="B6995">
        <f>VLOOKUP(578,Requirements!A2:B2967,2,FALSE)</f>
        <v/>
      </c>
    </row>
    <row r="6996">
      <c r="A6996" t="inlineStr">
        <is>
          <t xml:space="preserve">health </t>
        </is>
      </c>
      <c r="B6996">
        <f>VLOOKUP(584,Requirements!A2:B2967,2,FALSE)</f>
        <v/>
      </c>
    </row>
    <row r="6997">
      <c r="A6997" t="inlineStr">
        <is>
          <t xml:space="preserve">health </t>
        </is>
      </c>
      <c r="B6997">
        <f>VLOOKUP(642,Requirements!A2:B2967,2,FALSE)</f>
        <v/>
      </c>
    </row>
    <row r="6998">
      <c r="A6998" t="inlineStr">
        <is>
          <t xml:space="preserve">health </t>
        </is>
      </c>
      <c r="B6998">
        <f>VLOOKUP(653,Requirements!A2:B2967,2,FALSE)</f>
        <v/>
      </c>
    </row>
    <row r="6999">
      <c r="A6999" t="inlineStr">
        <is>
          <t xml:space="preserve">health </t>
        </is>
      </c>
      <c r="B6999">
        <f>VLOOKUP(726,Requirements!A2:B2967,2,FALSE)</f>
        <v/>
      </c>
    </row>
    <row r="7000">
      <c r="A7000" t="inlineStr">
        <is>
          <t xml:space="preserve">health </t>
        </is>
      </c>
      <c r="B7000">
        <f>VLOOKUP(750,Requirements!A2:B2967,2,FALSE)</f>
        <v/>
      </c>
    </row>
    <row r="7001">
      <c r="A7001" t="inlineStr">
        <is>
          <t xml:space="preserve">health </t>
        </is>
      </c>
      <c r="B7001">
        <f>VLOOKUP(951,Requirements!A2:B2967,2,FALSE)</f>
        <v/>
      </c>
    </row>
    <row r="7002">
      <c r="A7002" t="inlineStr">
        <is>
          <t xml:space="preserve">health </t>
        </is>
      </c>
      <c r="B7002">
        <f>VLOOKUP(1121,Requirements!A2:B2967,2,FALSE)</f>
        <v/>
      </c>
    </row>
    <row r="7003">
      <c r="A7003" t="inlineStr">
        <is>
          <t xml:space="preserve">health </t>
        </is>
      </c>
      <c r="B7003">
        <f>VLOOKUP(1126,Requirements!A2:B2967,2,FALSE)</f>
        <v/>
      </c>
    </row>
    <row r="7004">
      <c r="A7004" t="inlineStr">
        <is>
          <t xml:space="preserve">health </t>
        </is>
      </c>
      <c r="B7004">
        <f>VLOOKUP(1144,Requirements!A2:B2967,2,FALSE)</f>
        <v/>
      </c>
    </row>
    <row r="7005">
      <c r="A7005" t="inlineStr">
        <is>
          <t xml:space="preserve">health </t>
        </is>
      </c>
      <c r="B7005">
        <f>VLOOKUP(1206,Requirements!A2:B2967,2,FALSE)</f>
        <v/>
      </c>
    </row>
    <row r="7006">
      <c r="A7006" t="inlineStr">
        <is>
          <t xml:space="preserve">health </t>
        </is>
      </c>
      <c r="B7006">
        <f>VLOOKUP(1275,Requirements!A2:B2967,2,FALSE)</f>
        <v/>
      </c>
    </row>
    <row r="7007">
      <c r="A7007" t="inlineStr">
        <is>
          <t xml:space="preserve">health </t>
        </is>
      </c>
      <c r="B7007">
        <f>VLOOKUP(1488,Requirements!A2:B2967,2,FALSE)</f>
        <v/>
      </c>
    </row>
    <row r="7008">
      <c r="A7008" t="inlineStr">
        <is>
          <t xml:space="preserve">health </t>
        </is>
      </c>
      <c r="B7008">
        <f>VLOOKUP(1511,Requirements!A2:B2967,2,FALSE)</f>
        <v/>
      </c>
    </row>
    <row r="7009">
      <c r="A7009" t="inlineStr">
        <is>
          <t xml:space="preserve">health </t>
        </is>
      </c>
      <c r="B7009">
        <f>VLOOKUP(1523,Requirements!A2:B2967,2,FALSE)</f>
        <v/>
      </c>
    </row>
    <row r="7010">
      <c r="A7010" t="inlineStr">
        <is>
          <t xml:space="preserve">health </t>
        </is>
      </c>
      <c r="B7010">
        <f>VLOOKUP(1532,Requirements!A2:B2967,2,FALSE)</f>
        <v/>
      </c>
    </row>
    <row r="7011">
      <c r="A7011" t="inlineStr">
        <is>
          <t xml:space="preserve">health </t>
        </is>
      </c>
      <c r="B7011">
        <f>VLOOKUP(1534,Requirements!A2:B2967,2,FALSE)</f>
        <v/>
      </c>
    </row>
    <row r="7012">
      <c r="A7012" t="inlineStr">
        <is>
          <t xml:space="preserve">health </t>
        </is>
      </c>
      <c r="B7012">
        <f>VLOOKUP(1542,Requirements!A2:B2967,2,FALSE)</f>
        <v/>
      </c>
    </row>
    <row r="7013">
      <c r="A7013" t="inlineStr">
        <is>
          <t xml:space="preserve">health </t>
        </is>
      </c>
      <c r="B7013">
        <f>VLOOKUP(1563,Requirements!A2:B2967,2,FALSE)</f>
        <v/>
      </c>
    </row>
    <row r="7014">
      <c r="A7014" t="inlineStr">
        <is>
          <t xml:space="preserve">health </t>
        </is>
      </c>
      <c r="B7014">
        <f>VLOOKUP(1610,Requirements!A2:B2967,2,FALSE)</f>
        <v/>
      </c>
    </row>
    <row r="7015">
      <c r="A7015" t="inlineStr">
        <is>
          <t xml:space="preserve">health </t>
        </is>
      </c>
      <c r="B7015">
        <f>VLOOKUP(1624,Requirements!A2:B2967,2,FALSE)</f>
        <v/>
      </c>
    </row>
    <row r="7016">
      <c r="A7016" t="inlineStr">
        <is>
          <t xml:space="preserve">health </t>
        </is>
      </c>
      <c r="B7016">
        <f>VLOOKUP(1637,Requirements!A2:B2967,2,FALSE)</f>
        <v/>
      </c>
    </row>
    <row r="7017">
      <c r="A7017" t="inlineStr">
        <is>
          <t xml:space="preserve">health </t>
        </is>
      </c>
      <c r="B7017">
        <f>VLOOKUP(1656,Requirements!A2:B2967,2,FALSE)</f>
        <v/>
      </c>
    </row>
    <row r="7018">
      <c r="A7018" t="inlineStr">
        <is>
          <t xml:space="preserve">health </t>
        </is>
      </c>
      <c r="B7018">
        <f>VLOOKUP(1707,Requirements!A2:B2967,2,FALSE)</f>
        <v/>
      </c>
    </row>
    <row r="7019">
      <c r="A7019" t="inlineStr">
        <is>
          <t xml:space="preserve">health </t>
        </is>
      </c>
      <c r="B7019">
        <f>VLOOKUP(1853,Requirements!A2:B2967,2,FALSE)</f>
        <v/>
      </c>
    </row>
    <row r="7020">
      <c r="A7020" t="inlineStr">
        <is>
          <t xml:space="preserve">health </t>
        </is>
      </c>
      <c r="B7020">
        <f>VLOOKUP(1868,Requirements!A2:B2967,2,FALSE)</f>
        <v/>
      </c>
    </row>
    <row r="7021">
      <c r="A7021" t="inlineStr">
        <is>
          <t xml:space="preserve">health </t>
        </is>
      </c>
      <c r="B7021">
        <f>VLOOKUP(2009,Requirements!A2:B2967,2,FALSE)</f>
        <v/>
      </c>
    </row>
    <row r="7022">
      <c r="A7022" t="inlineStr">
        <is>
          <t xml:space="preserve">health </t>
        </is>
      </c>
      <c r="B7022">
        <f>VLOOKUP(2011,Requirements!A2:B2967,2,FALSE)</f>
        <v/>
      </c>
    </row>
    <row r="7023">
      <c r="A7023" t="inlineStr">
        <is>
          <t xml:space="preserve">health </t>
        </is>
      </c>
      <c r="B7023">
        <f>VLOOKUP(2281,Requirements!A2:B2967,2,FALSE)</f>
        <v/>
      </c>
    </row>
    <row r="7024">
      <c r="A7024" t="inlineStr">
        <is>
          <t xml:space="preserve">health </t>
        </is>
      </c>
      <c r="B7024">
        <f>VLOOKUP(2294,Requirements!A2:B2967,2,FALSE)</f>
        <v/>
      </c>
    </row>
    <row r="7025">
      <c r="A7025" t="inlineStr">
        <is>
          <t xml:space="preserve">health </t>
        </is>
      </c>
      <c r="B7025">
        <f>VLOOKUP(2591,Requirements!A2:B2967,2,FALSE)</f>
        <v/>
      </c>
    </row>
    <row r="7026">
      <c r="A7026" t="inlineStr">
        <is>
          <t xml:space="preserve">health </t>
        </is>
      </c>
      <c r="B7026">
        <f>VLOOKUP(2650,Requirements!A2:B2967,2,FALSE)</f>
        <v/>
      </c>
    </row>
    <row r="7027">
      <c r="A7027" t="inlineStr">
        <is>
          <t xml:space="preserve">health </t>
        </is>
      </c>
      <c r="B7027">
        <f>VLOOKUP(2656,Requirements!A2:B2967,2,FALSE)</f>
        <v/>
      </c>
    </row>
    <row r="7028">
      <c r="A7028" t="inlineStr">
        <is>
          <t xml:space="preserve">health </t>
        </is>
      </c>
      <c r="B7028">
        <f>VLOOKUP(2941,Requirements!A2:B2967,2,FALSE)</f>
        <v/>
      </c>
    </row>
    <row r="7029">
      <c r="A7029" t="inlineStr">
        <is>
          <t xml:space="preserve">health </t>
        </is>
      </c>
      <c r="B7029">
        <f>VLOOKUP(3158,Requirements!A2:B2967,2,FALSE)</f>
        <v/>
      </c>
    </row>
    <row r="7030">
      <c r="A7030" t="inlineStr">
        <is>
          <t xml:space="preserve">window </t>
        </is>
      </c>
      <c r="B7030">
        <f>VLOOKUP(75,Requirements!A2:B2967,2,FALSE)</f>
        <v/>
      </c>
    </row>
    <row r="7031">
      <c r="A7031" t="inlineStr">
        <is>
          <t xml:space="preserve">window </t>
        </is>
      </c>
      <c r="B7031">
        <f>VLOOKUP(131,Requirements!A2:B2967,2,FALSE)</f>
        <v/>
      </c>
    </row>
    <row r="7032">
      <c r="A7032" t="inlineStr">
        <is>
          <t xml:space="preserve">window </t>
        </is>
      </c>
      <c r="B7032">
        <f>VLOOKUP(139,Requirements!A2:B2967,2,FALSE)</f>
        <v/>
      </c>
    </row>
    <row r="7033">
      <c r="A7033" t="inlineStr">
        <is>
          <t xml:space="preserve">window </t>
        </is>
      </c>
      <c r="B7033">
        <f>VLOOKUP(155,Requirements!A2:B2967,2,FALSE)</f>
        <v/>
      </c>
    </row>
    <row r="7034">
      <c r="A7034" t="inlineStr">
        <is>
          <t xml:space="preserve">window </t>
        </is>
      </c>
      <c r="B7034">
        <f>VLOOKUP(169,Requirements!A2:B2967,2,FALSE)</f>
        <v/>
      </c>
    </row>
    <row r="7035">
      <c r="A7035" t="inlineStr">
        <is>
          <t xml:space="preserve">window </t>
        </is>
      </c>
      <c r="B7035">
        <f>VLOOKUP(223,Requirements!A2:B2967,2,FALSE)</f>
        <v/>
      </c>
    </row>
    <row r="7036">
      <c r="A7036" t="inlineStr">
        <is>
          <t xml:space="preserve">window </t>
        </is>
      </c>
      <c r="B7036">
        <f>VLOOKUP(255,Requirements!A2:B2967,2,FALSE)</f>
        <v/>
      </c>
    </row>
    <row r="7037">
      <c r="A7037" t="inlineStr">
        <is>
          <t xml:space="preserve">window </t>
        </is>
      </c>
      <c r="B7037">
        <f>VLOOKUP(342,Requirements!A2:B2967,2,FALSE)</f>
        <v/>
      </c>
    </row>
    <row r="7038">
      <c r="A7038" t="inlineStr">
        <is>
          <t xml:space="preserve">window </t>
        </is>
      </c>
      <c r="B7038">
        <f>VLOOKUP(345,Requirements!A2:B2967,2,FALSE)</f>
        <v/>
      </c>
    </row>
    <row r="7039">
      <c r="A7039" t="inlineStr">
        <is>
          <t xml:space="preserve">window </t>
        </is>
      </c>
      <c r="B7039">
        <f>VLOOKUP(370,Requirements!A2:B2967,2,FALSE)</f>
        <v/>
      </c>
    </row>
    <row r="7040">
      <c r="A7040" t="inlineStr">
        <is>
          <t xml:space="preserve">window </t>
        </is>
      </c>
      <c r="B7040">
        <f>VLOOKUP(395,Requirements!A2:B2967,2,FALSE)</f>
        <v/>
      </c>
    </row>
    <row r="7041">
      <c r="A7041" t="inlineStr">
        <is>
          <t xml:space="preserve">window </t>
        </is>
      </c>
      <c r="B7041">
        <f>VLOOKUP(531,Requirements!A2:B2967,2,FALSE)</f>
        <v/>
      </c>
    </row>
    <row r="7042">
      <c r="A7042" t="inlineStr">
        <is>
          <t xml:space="preserve">window </t>
        </is>
      </c>
      <c r="B7042">
        <f>VLOOKUP(557,Requirements!A2:B2967,2,FALSE)</f>
        <v/>
      </c>
    </row>
    <row r="7043">
      <c r="A7043" t="inlineStr">
        <is>
          <t xml:space="preserve">window </t>
        </is>
      </c>
      <c r="B7043">
        <f>VLOOKUP(624,Requirements!A2:B2967,2,FALSE)</f>
        <v/>
      </c>
    </row>
    <row r="7044">
      <c r="A7044" t="inlineStr">
        <is>
          <t xml:space="preserve">window </t>
        </is>
      </c>
      <c r="B7044">
        <f>VLOOKUP(692,Requirements!A2:B2967,2,FALSE)</f>
        <v/>
      </c>
    </row>
    <row r="7045">
      <c r="A7045" t="inlineStr">
        <is>
          <t xml:space="preserve">window </t>
        </is>
      </c>
      <c r="B7045">
        <f>VLOOKUP(935,Requirements!A2:B2967,2,FALSE)</f>
        <v/>
      </c>
    </row>
    <row r="7046">
      <c r="A7046" t="inlineStr">
        <is>
          <t xml:space="preserve">window </t>
        </is>
      </c>
      <c r="B7046">
        <f>VLOOKUP(943,Requirements!A2:B2967,2,FALSE)</f>
        <v/>
      </c>
    </row>
    <row r="7047">
      <c r="A7047" t="inlineStr">
        <is>
          <t xml:space="preserve">window </t>
        </is>
      </c>
      <c r="B7047">
        <f>VLOOKUP(1029,Requirements!A2:B2967,2,FALSE)</f>
        <v/>
      </c>
    </row>
    <row r="7048">
      <c r="A7048" t="inlineStr">
        <is>
          <t xml:space="preserve">window </t>
        </is>
      </c>
      <c r="B7048">
        <f>VLOOKUP(1269,Requirements!A2:B2967,2,FALSE)</f>
        <v/>
      </c>
    </row>
    <row r="7049">
      <c r="A7049" t="inlineStr">
        <is>
          <t xml:space="preserve">window </t>
        </is>
      </c>
      <c r="B7049">
        <f>VLOOKUP(1521,Requirements!A2:B2967,2,FALSE)</f>
        <v/>
      </c>
    </row>
    <row r="7050">
      <c r="A7050" t="inlineStr">
        <is>
          <t xml:space="preserve">window </t>
        </is>
      </c>
      <c r="B7050">
        <f>VLOOKUP(1556,Requirements!A2:B2967,2,FALSE)</f>
        <v/>
      </c>
    </row>
    <row r="7051">
      <c r="A7051" t="inlineStr">
        <is>
          <t xml:space="preserve">window </t>
        </is>
      </c>
      <c r="B7051">
        <f>VLOOKUP(1849,Requirements!A2:B2967,2,FALSE)</f>
        <v/>
      </c>
    </row>
    <row r="7052">
      <c r="A7052" t="inlineStr">
        <is>
          <t xml:space="preserve">window </t>
        </is>
      </c>
      <c r="B7052">
        <f>VLOOKUP(1923,Requirements!A2:B2967,2,FALSE)</f>
        <v/>
      </c>
    </row>
    <row r="7053">
      <c r="A7053" t="inlineStr">
        <is>
          <t xml:space="preserve">window </t>
        </is>
      </c>
      <c r="B7053">
        <f>VLOOKUP(2048,Requirements!A2:B2967,2,FALSE)</f>
        <v/>
      </c>
    </row>
    <row r="7054">
      <c r="A7054" t="inlineStr">
        <is>
          <t xml:space="preserve">window </t>
        </is>
      </c>
      <c r="B7054">
        <f>VLOOKUP(2139,Requirements!A2:B2967,2,FALSE)</f>
        <v/>
      </c>
    </row>
    <row r="7055">
      <c r="A7055" t="inlineStr">
        <is>
          <t xml:space="preserve">window </t>
        </is>
      </c>
      <c r="B7055">
        <f>VLOOKUP(2493,Requirements!A2:B2967,2,FALSE)</f>
        <v/>
      </c>
    </row>
    <row r="7056">
      <c r="A7056" t="inlineStr">
        <is>
          <t xml:space="preserve">window </t>
        </is>
      </c>
      <c r="B7056">
        <f>VLOOKUP(2576,Requirements!A2:B2967,2,FALSE)</f>
        <v/>
      </c>
    </row>
    <row r="7057">
      <c r="A7057" t="inlineStr">
        <is>
          <t xml:space="preserve">window </t>
        </is>
      </c>
      <c r="B7057">
        <f>VLOOKUP(2714,Requirements!A2:B2967,2,FALSE)</f>
        <v/>
      </c>
    </row>
    <row r="7058">
      <c r="A7058" t="inlineStr">
        <is>
          <t xml:space="preserve">window </t>
        </is>
      </c>
      <c r="B7058">
        <f>VLOOKUP(2909,Requirements!A2:B2967,2,FALSE)</f>
        <v/>
      </c>
    </row>
    <row r="7059">
      <c r="A7059" t="inlineStr">
        <is>
          <t xml:space="preserve">window </t>
        </is>
      </c>
      <c r="B7059">
        <f>VLOOKUP(3080,Requirements!A2:B2967,2,FALSE)</f>
        <v/>
      </c>
    </row>
    <row r="7060">
      <c r="A7060" t="inlineStr">
        <is>
          <t xml:space="preserve">window </t>
        </is>
      </c>
      <c r="B7060">
        <f>VLOOKUP(3096,Requirements!A2:B2967,2,FALSE)</f>
        <v/>
      </c>
    </row>
    <row r="7061">
      <c r="A7061" t="inlineStr">
        <is>
          <t xml:space="preserve">window </t>
        </is>
      </c>
      <c r="B7061">
        <f>VLOOKUP(3130,Requirements!A2:B2967,2,FALSE)</f>
        <v/>
      </c>
    </row>
    <row r="7062">
      <c r="A7062" t="inlineStr">
        <is>
          <t xml:space="preserve">police </t>
        </is>
      </c>
      <c r="B7062">
        <f>VLOOKUP(75,Requirements!A2:B2967,2,FALSE)</f>
        <v/>
      </c>
    </row>
    <row r="7063">
      <c r="A7063" t="inlineStr">
        <is>
          <t xml:space="preserve">police </t>
        </is>
      </c>
      <c r="B7063">
        <f>VLOOKUP(190,Requirements!A2:B2967,2,FALSE)</f>
        <v/>
      </c>
    </row>
    <row r="7064">
      <c r="A7064" t="inlineStr">
        <is>
          <t xml:space="preserve">police </t>
        </is>
      </c>
      <c r="B7064">
        <f>VLOOKUP(320,Requirements!A2:B2967,2,FALSE)</f>
        <v/>
      </c>
    </row>
    <row r="7065">
      <c r="A7065" t="inlineStr">
        <is>
          <t xml:space="preserve">police </t>
        </is>
      </c>
      <c r="B7065">
        <f>VLOOKUP(612,Requirements!A2:B2967,2,FALSE)</f>
        <v/>
      </c>
    </row>
    <row r="7066">
      <c r="A7066" t="inlineStr">
        <is>
          <t xml:space="preserve">police </t>
        </is>
      </c>
      <c r="B7066">
        <f>VLOOKUP(670,Requirements!A2:B2967,2,FALSE)</f>
        <v/>
      </c>
    </row>
    <row r="7067">
      <c r="A7067" t="inlineStr">
        <is>
          <t xml:space="preserve">police </t>
        </is>
      </c>
      <c r="B7067">
        <f>VLOOKUP(1203,Requirements!A2:B2967,2,FALSE)</f>
        <v/>
      </c>
    </row>
    <row r="7068">
      <c r="A7068" t="inlineStr">
        <is>
          <t xml:space="preserve">police </t>
        </is>
      </c>
      <c r="B7068">
        <f>VLOOKUP(1657,Requirements!A2:B2967,2,FALSE)</f>
        <v/>
      </c>
    </row>
    <row r="7069">
      <c r="A7069" t="inlineStr">
        <is>
          <t xml:space="preserve">police </t>
        </is>
      </c>
      <c r="B7069">
        <f>VLOOKUP(1667,Requirements!A2:B2967,2,FALSE)</f>
        <v/>
      </c>
    </row>
    <row r="7070">
      <c r="A7070" t="inlineStr">
        <is>
          <t xml:space="preserve">police </t>
        </is>
      </c>
      <c r="B7070">
        <f>VLOOKUP(1803,Requirements!A2:B2967,2,FALSE)</f>
        <v/>
      </c>
    </row>
    <row r="7071">
      <c r="A7071" t="inlineStr">
        <is>
          <t xml:space="preserve">police </t>
        </is>
      </c>
      <c r="B7071">
        <f>VLOOKUP(1858,Requirements!A2:B2967,2,FALSE)</f>
        <v/>
      </c>
    </row>
    <row r="7072">
      <c r="A7072" t="inlineStr">
        <is>
          <t xml:space="preserve">police </t>
        </is>
      </c>
      <c r="B7072">
        <f>VLOOKUP(2610,Requirements!A2:B2967,2,FALSE)</f>
        <v/>
      </c>
    </row>
    <row r="7073">
      <c r="A7073" t="inlineStr">
        <is>
          <t xml:space="preserve">police </t>
        </is>
      </c>
      <c r="B7073">
        <f>VLOOKUP(2753,Requirements!A2:B2967,2,FALSE)</f>
        <v/>
      </c>
    </row>
    <row r="7074">
      <c r="A7074" t="inlineStr">
        <is>
          <t xml:space="preserve">police </t>
        </is>
      </c>
      <c r="B7074">
        <f>VLOOKUP(2757,Requirements!A2:B2967,2,FALSE)</f>
        <v/>
      </c>
    </row>
    <row r="7075">
      <c r="A7075" t="inlineStr">
        <is>
          <t xml:space="preserve">police </t>
        </is>
      </c>
      <c r="B7075">
        <f>VLOOKUP(3268,Requirements!A2:B2967,2,FALSE)</f>
        <v/>
      </c>
    </row>
    <row r="7076">
      <c r="A7076" t="inlineStr">
        <is>
          <t xml:space="preserve">ability </t>
        </is>
      </c>
      <c r="B7076">
        <f>VLOOKUP(78,Requirements!A2:B2967,2,FALSE)</f>
        <v/>
      </c>
    </row>
    <row r="7077">
      <c r="A7077" t="inlineStr">
        <is>
          <t xml:space="preserve">ability </t>
        </is>
      </c>
      <c r="B7077">
        <f>VLOOKUP(167,Requirements!A2:B2967,2,FALSE)</f>
        <v/>
      </c>
    </row>
    <row r="7078">
      <c r="A7078" t="inlineStr">
        <is>
          <t xml:space="preserve">ability </t>
        </is>
      </c>
      <c r="B7078">
        <f>VLOOKUP(754,Requirements!A2:B2967,2,FALSE)</f>
        <v/>
      </c>
    </row>
    <row r="7079">
      <c r="A7079" t="inlineStr">
        <is>
          <t xml:space="preserve">ability </t>
        </is>
      </c>
      <c r="B7079">
        <f>VLOOKUP(806,Requirements!A2:B2967,2,FALSE)</f>
        <v/>
      </c>
    </row>
    <row r="7080">
      <c r="A7080" t="inlineStr">
        <is>
          <t xml:space="preserve">ability </t>
        </is>
      </c>
      <c r="B7080">
        <f>VLOOKUP(1432,Requirements!A2:B2967,2,FALSE)</f>
        <v/>
      </c>
    </row>
    <row r="7081">
      <c r="A7081" t="inlineStr">
        <is>
          <t xml:space="preserve">ability </t>
        </is>
      </c>
      <c r="B7081">
        <f>VLOOKUP(1581,Requirements!A2:B2967,2,FALSE)</f>
        <v/>
      </c>
    </row>
    <row r="7082">
      <c r="A7082" t="inlineStr">
        <is>
          <t xml:space="preserve">ability </t>
        </is>
      </c>
      <c r="B7082">
        <f>VLOOKUP(1787,Requirements!A2:B2967,2,FALSE)</f>
        <v/>
      </c>
    </row>
    <row r="7083">
      <c r="A7083" t="inlineStr">
        <is>
          <t xml:space="preserve">ability </t>
        </is>
      </c>
      <c r="B7083">
        <f>VLOOKUP(1982,Requirements!A2:B2967,2,FALSE)</f>
        <v/>
      </c>
    </row>
    <row r="7084">
      <c r="A7084" t="inlineStr">
        <is>
          <t xml:space="preserve">ability </t>
        </is>
      </c>
      <c r="B7084">
        <f>VLOOKUP(1992,Requirements!A2:B2967,2,FALSE)</f>
        <v/>
      </c>
    </row>
    <row r="7085">
      <c r="A7085" t="inlineStr">
        <is>
          <t xml:space="preserve">ability </t>
        </is>
      </c>
      <c r="B7085">
        <f>VLOOKUP(2265,Requirements!A2:B2967,2,FALSE)</f>
        <v/>
      </c>
    </row>
    <row r="7086">
      <c r="A7086" t="inlineStr">
        <is>
          <t xml:space="preserve">ability </t>
        </is>
      </c>
      <c r="B7086">
        <f>VLOOKUP(2270,Requirements!A2:B2967,2,FALSE)</f>
        <v/>
      </c>
    </row>
    <row r="7087">
      <c r="A7087" t="inlineStr">
        <is>
          <t xml:space="preserve">ability </t>
        </is>
      </c>
      <c r="B7087">
        <f>VLOOKUP(2292,Requirements!A2:B2967,2,FALSE)</f>
        <v/>
      </c>
    </row>
    <row r="7088">
      <c r="A7088" t="inlineStr">
        <is>
          <t xml:space="preserve">ability </t>
        </is>
      </c>
      <c r="B7088">
        <f>VLOOKUP(2296,Requirements!A2:B2967,2,FALSE)</f>
        <v/>
      </c>
    </row>
    <row r="7089">
      <c r="A7089" t="inlineStr">
        <is>
          <t xml:space="preserve">ability </t>
        </is>
      </c>
      <c r="B7089">
        <f>VLOOKUP(2346,Requirements!A2:B2967,2,FALSE)</f>
        <v/>
      </c>
    </row>
    <row r="7090">
      <c r="A7090" t="inlineStr">
        <is>
          <t xml:space="preserve">ability </t>
        </is>
      </c>
      <c r="B7090">
        <f>VLOOKUP(2360,Requirements!A2:B2967,2,FALSE)</f>
        <v/>
      </c>
    </row>
    <row r="7091">
      <c r="A7091" t="inlineStr">
        <is>
          <t xml:space="preserve">ability </t>
        </is>
      </c>
      <c r="B7091">
        <f>VLOOKUP(2638,Requirements!A2:B2967,2,FALSE)</f>
        <v/>
      </c>
    </row>
    <row r="7092">
      <c r="A7092" t="inlineStr">
        <is>
          <t xml:space="preserve">ability </t>
        </is>
      </c>
      <c r="B7092">
        <f>VLOOKUP(2809,Requirements!A2:B2967,2,FALSE)</f>
        <v/>
      </c>
    </row>
    <row r="7093">
      <c r="A7093" t="inlineStr">
        <is>
          <t xml:space="preserve">ability </t>
        </is>
      </c>
      <c r="B7093">
        <f>VLOOKUP(2810,Requirements!A2:B2967,2,FALSE)</f>
        <v/>
      </c>
    </row>
    <row r="7094">
      <c r="A7094" t="inlineStr">
        <is>
          <t xml:space="preserve">party </t>
        </is>
      </c>
      <c r="B7094">
        <f>VLOOKUP(78,Requirements!A2:B2967,2,FALSE)</f>
        <v/>
      </c>
    </row>
    <row r="7095">
      <c r="A7095" t="inlineStr">
        <is>
          <t xml:space="preserve">party </t>
        </is>
      </c>
      <c r="B7095">
        <f>VLOOKUP(382,Requirements!A2:B2967,2,FALSE)</f>
        <v/>
      </c>
    </row>
    <row r="7096">
      <c r="A7096" t="inlineStr">
        <is>
          <t xml:space="preserve">party </t>
        </is>
      </c>
      <c r="B7096">
        <f>VLOOKUP(550,Requirements!A2:B2967,2,FALSE)</f>
        <v/>
      </c>
    </row>
    <row r="7097">
      <c r="A7097" t="inlineStr">
        <is>
          <t xml:space="preserve">party </t>
        </is>
      </c>
      <c r="B7097">
        <f>VLOOKUP(1183,Requirements!A2:B2967,2,FALSE)</f>
        <v/>
      </c>
    </row>
    <row r="7098">
      <c r="A7098" t="inlineStr">
        <is>
          <t xml:space="preserve">party </t>
        </is>
      </c>
      <c r="B7098">
        <f>VLOOKUP(1628,Requirements!A2:B2967,2,FALSE)</f>
        <v/>
      </c>
    </row>
    <row r="7099">
      <c r="A7099" t="inlineStr">
        <is>
          <t xml:space="preserve">party </t>
        </is>
      </c>
      <c r="B7099">
        <f>VLOOKUP(3021,Requirements!A2:B2967,2,FALSE)</f>
        <v/>
      </c>
    </row>
    <row r="7100">
      <c r="A7100" t="inlineStr">
        <is>
          <t xml:space="preserve">party </t>
        </is>
      </c>
      <c r="B7100">
        <f>VLOOKUP(3077,Requirements!A2:B2967,2,FALSE)</f>
        <v/>
      </c>
    </row>
    <row r="7101">
      <c r="A7101" t="inlineStr">
        <is>
          <t xml:space="preserve">garage </t>
        </is>
      </c>
      <c r="B7101">
        <f>VLOOKUP(84,Requirements!A2:B2967,2,FALSE)</f>
        <v/>
      </c>
    </row>
    <row r="7102">
      <c r="A7102" t="inlineStr">
        <is>
          <t xml:space="preserve">garage </t>
        </is>
      </c>
      <c r="B7102">
        <f>VLOOKUP(908,Requirements!A2:B2967,2,FALSE)</f>
        <v/>
      </c>
    </row>
    <row r="7103">
      <c r="A7103" t="inlineStr">
        <is>
          <t xml:space="preserve">garage </t>
        </is>
      </c>
      <c r="B7103">
        <f>VLOOKUP(989,Requirements!A2:B2967,2,FALSE)</f>
        <v/>
      </c>
    </row>
    <row r="7104">
      <c r="A7104" t="inlineStr">
        <is>
          <t xml:space="preserve">garage </t>
        </is>
      </c>
      <c r="B7104">
        <f>VLOOKUP(1036,Requirements!A2:B2967,2,FALSE)</f>
        <v/>
      </c>
    </row>
    <row r="7105">
      <c r="A7105" t="inlineStr">
        <is>
          <t xml:space="preserve">garage </t>
        </is>
      </c>
      <c r="B7105">
        <f>VLOOKUP(1198,Requirements!A2:B2967,2,FALSE)</f>
        <v/>
      </c>
    </row>
    <row r="7106">
      <c r="A7106" t="inlineStr">
        <is>
          <t xml:space="preserve">garage </t>
        </is>
      </c>
      <c r="B7106">
        <f>VLOOKUP(1218,Requirements!A2:B2967,2,FALSE)</f>
        <v/>
      </c>
    </row>
    <row r="7107">
      <c r="A7107" t="inlineStr">
        <is>
          <t xml:space="preserve">garage </t>
        </is>
      </c>
      <c r="B7107">
        <f>VLOOKUP(2093,Requirements!A2:B2967,2,FALSE)</f>
        <v/>
      </c>
    </row>
    <row r="7108">
      <c r="A7108" t="inlineStr">
        <is>
          <t xml:space="preserve">garage </t>
        </is>
      </c>
      <c r="B7108">
        <f>VLOOKUP(2398,Requirements!A2:B2967,2,FALSE)</f>
        <v/>
      </c>
    </row>
    <row r="7109">
      <c r="A7109" t="inlineStr">
        <is>
          <t xml:space="preserve">garage </t>
        </is>
      </c>
      <c r="B7109">
        <f>VLOOKUP(2818,Requirements!A2:B2967,2,FALSE)</f>
        <v/>
      </c>
    </row>
    <row r="7110">
      <c r="A7110" t="inlineStr">
        <is>
          <t xml:space="preserve">garage </t>
        </is>
      </c>
      <c r="B7110">
        <f>VLOOKUP(2935,Requirements!A2:B2967,2,FALSE)</f>
        <v/>
      </c>
    </row>
    <row r="7111">
      <c r="A7111" t="inlineStr">
        <is>
          <t xml:space="preserve">garage </t>
        </is>
      </c>
      <c r="B7111">
        <f>VLOOKUP(3001,Requirements!A2:B2967,2,FALSE)</f>
        <v/>
      </c>
    </row>
    <row r="7112">
      <c r="A7112" t="inlineStr">
        <is>
          <t xml:space="preserve">garage </t>
        </is>
      </c>
      <c r="B7112">
        <f>VLOOKUP(3083,Requirements!A2:B2967,2,FALSE)</f>
        <v/>
      </c>
    </row>
    <row r="7113">
      <c r="A7113" t="inlineStr">
        <is>
          <t xml:space="preserve">garage </t>
        </is>
      </c>
      <c r="B7113">
        <f>VLOOKUP(3145,Requirements!A2:B2967,2,FALSE)</f>
        <v/>
      </c>
    </row>
    <row r="7114">
      <c r="A7114" t="inlineStr">
        <is>
          <t xml:space="preserve">sound </t>
        </is>
      </c>
      <c r="B7114">
        <f>VLOOKUP(85,Requirements!A2:B2967,2,FALSE)</f>
        <v/>
      </c>
    </row>
    <row r="7115">
      <c r="A7115" t="inlineStr">
        <is>
          <t xml:space="preserve">sound </t>
        </is>
      </c>
      <c r="B7115">
        <f>VLOOKUP(89,Requirements!A2:B2967,2,FALSE)</f>
        <v/>
      </c>
    </row>
    <row r="7116">
      <c r="A7116" t="inlineStr">
        <is>
          <t xml:space="preserve">sound </t>
        </is>
      </c>
      <c r="B7116">
        <f>VLOOKUP(106,Requirements!A2:B2967,2,FALSE)</f>
        <v/>
      </c>
    </row>
    <row r="7117">
      <c r="A7117" t="inlineStr">
        <is>
          <t xml:space="preserve">sound </t>
        </is>
      </c>
      <c r="B7117">
        <f>VLOOKUP(388,Requirements!A2:B2967,2,FALSE)</f>
        <v/>
      </c>
    </row>
    <row r="7118">
      <c r="A7118" t="inlineStr">
        <is>
          <t xml:space="preserve">sound </t>
        </is>
      </c>
      <c r="B7118">
        <f>VLOOKUP(389,Requirements!A2:B2967,2,FALSE)</f>
        <v/>
      </c>
    </row>
    <row r="7119">
      <c r="A7119" t="inlineStr">
        <is>
          <t xml:space="preserve">sound </t>
        </is>
      </c>
      <c r="B7119">
        <f>VLOOKUP(536,Requirements!A2:B2967,2,FALSE)</f>
        <v/>
      </c>
    </row>
    <row r="7120">
      <c r="A7120" t="inlineStr">
        <is>
          <t xml:space="preserve">sound </t>
        </is>
      </c>
      <c r="B7120">
        <f>VLOOKUP(537,Requirements!A2:B2967,2,FALSE)</f>
        <v/>
      </c>
    </row>
    <row r="7121">
      <c r="A7121" t="inlineStr">
        <is>
          <t xml:space="preserve">sound </t>
        </is>
      </c>
      <c r="B7121">
        <f>VLOOKUP(540,Requirements!A2:B2967,2,FALSE)</f>
        <v/>
      </c>
    </row>
    <row r="7122">
      <c r="A7122" t="inlineStr">
        <is>
          <t xml:space="preserve">sound </t>
        </is>
      </c>
      <c r="B7122">
        <f>VLOOKUP(655,Requirements!A2:B2967,2,FALSE)</f>
        <v/>
      </c>
    </row>
    <row r="7123">
      <c r="A7123" t="inlineStr">
        <is>
          <t xml:space="preserve">sound </t>
        </is>
      </c>
      <c r="B7123">
        <f>VLOOKUP(656,Requirements!A2:B2967,2,FALSE)</f>
        <v/>
      </c>
    </row>
    <row r="7124">
      <c r="A7124" t="inlineStr">
        <is>
          <t xml:space="preserve">sound </t>
        </is>
      </c>
      <c r="B7124">
        <f>VLOOKUP(781,Requirements!A2:B2967,2,FALSE)</f>
        <v/>
      </c>
    </row>
    <row r="7125">
      <c r="A7125" t="inlineStr">
        <is>
          <t xml:space="preserve">sound </t>
        </is>
      </c>
      <c r="B7125">
        <f>VLOOKUP(895,Requirements!A2:B2967,2,FALSE)</f>
        <v/>
      </c>
    </row>
    <row r="7126">
      <c r="A7126" t="inlineStr">
        <is>
          <t xml:space="preserve">sound </t>
        </is>
      </c>
      <c r="B7126">
        <f>VLOOKUP(908,Requirements!A2:B2967,2,FALSE)</f>
        <v/>
      </c>
    </row>
    <row r="7127">
      <c r="A7127" t="inlineStr">
        <is>
          <t xml:space="preserve">sound </t>
        </is>
      </c>
      <c r="B7127">
        <f>VLOOKUP(1207,Requirements!A2:B2967,2,FALSE)</f>
        <v/>
      </c>
    </row>
    <row r="7128">
      <c r="A7128" t="inlineStr">
        <is>
          <t xml:space="preserve">sound </t>
        </is>
      </c>
      <c r="B7128">
        <f>VLOOKUP(1375,Requirements!A2:B2967,2,FALSE)</f>
        <v/>
      </c>
    </row>
    <row r="7129">
      <c r="A7129" t="inlineStr">
        <is>
          <t xml:space="preserve">sound </t>
        </is>
      </c>
      <c r="B7129">
        <f>VLOOKUP(1379,Requirements!A2:B2967,2,FALSE)</f>
        <v/>
      </c>
    </row>
    <row r="7130">
      <c r="A7130" t="inlineStr">
        <is>
          <t xml:space="preserve">sound </t>
        </is>
      </c>
      <c r="B7130">
        <f>VLOOKUP(1423,Requirements!A2:B2967,2,FALSE)</f>
        <v/>
      </c>
    </row>
    <row r="7131">
      <c r="A7131" t="inlineStr">
        <is>
          <t xml:space="preserve">sound </t>
        </is>
      </c>
      <c r="B7131">
        <f>VLOOKUP(1479,Requirements!A2:B2967,2,FALSE)</f>
        <v/>
      </c>
    </row>
    <row r="7132">
      <c r="A7132" t="inlineStr">
        <is>
          <t xml:space="preserve">sound </t>
        </is>
      </c>
      <c r="B7132">
        <f>VLOOKUP(2285,Requirements!A2:B2967,2,FALSE)</f>
        <v/>
      </c>
    </row>
    <row r="7133">
      <c r="A7133" t="inlineStr">
        <is>
          <t xml:space="preserve">sound </t>
        </is>
      </c>
      <c r="B7133">
        <f>VLOOKUP(2449,Requirements!A2:B2967,2,FALSE)</f>
        <v/>
      </c>
    </row>
    <row r="7134">
      <c r="A7134" t="inlineStr">
        <is>
          <t xml:space="preserve">sound </t>
        </is>
      </c>
      <c r="B7134">
        <f>VLOOKUP(2680,Requirements!A2:B2967,2,FALSE)</f>
        <v/>
      </c>
    </row>
    <row r="7135">
      <c r="A7135" t="inlineStr">
        <is>
          <t xml:space="preserve">sound </t>
        </is>
      </c>
      <c r="B7135">
        <f>VLOOKUP(2760,Requirements!A2:B2967,2,FALSE)</f>
        <v/>
      </c>
    </row>
    <row r="7136">
      <c r="A7136" t="inlineStr">
        <is>
          <t xml:space="preserve">sound </t>
        </is>
      </c>
      <c r="B7136">
        <f>VLOOKUP(2873,Requirements!A2:B2967,2,FALSE)</f>
        <v/>
      </c>
    </row>
    <row r="7137">
      <c r="A7137" t="inlineStr">
        <is>
          <t xml:space="preserve">sound </t>
        </is>
      </c>
      <c r="B7137">
        <f>VLOOKUP(2930,Requirements!A2:B2967,2,FALSE)</f>
        <v/>
      </c>
    </row>
    <row r="7138">
      <c r="A7138" t="inlineStr">
        <is>
          <t xml:space="preserve">sound </t>
        </is>
      </c>
      <c r="B7138">
        <f>VLOOKUP(2960,Requirements!A2:B2967,2,FALSE)</f>
        <v/>
      </c>
    </row>
    <row r="7139">
      <c r="A7139" t="inlineStr">
        <is>
          <t xml:space="preserve">sound </t>
        </is>
      </c>
      <c r="B7139">
        <f>VLOOKUP(3088,Requirements!A2:B2967,2,FALSE)</f>
        <v/>
      </c>
    </row>
    <row r="7140">
      <c r="A7140" t="inlineStr">
        <is>
          <t xml:space="preserve">emergency </t>
        </is>
      </c>
      <c r="B7140">
        <f>VLOOKUP(85,Requirements!A2:B2967,2,FALSE)</f>
        <v/>
      </c>
    </row>
    <row r="7141">
      <c r="A7141" t="inlineStr">
        <is>
          <t xml:space="preserve">emergency </t>
        </is>
      </c>
      <c r="B7141">
        <f>VLOOKUP(687,Requirements!A2:B2967,2,FALSE)</f>
        <v/>
      </c>
    </row>
    <row r="7142">
      <c r="A7142" t="inlineStr">
        <is>
          <t xml:space="preserve">emergency </t>
        </is>
      </c>
      <c r="B7142">
        <f>VLOOKUP(997,Requirements!A2:B2967,2,FALSE)</f>
        <v/>
      </c>
    </row>
    <row r="7143">
      <c r="A7143" t="inlineStr">
        <is>
          <t xml:space="preserve">emergency </t>
        </is>
      </c>
      <c r="B7143">
        <f>VLOOKUP(1080,Requirements!A2:B2967,2,FALSE)</f>
        <v/>
      </c>
    </row>
    <row r="7144">
      <c r="A7144" t="inlineStr">
        <is>
          <t xml:space="preserve">emergency </t>
        </is>
      </c>
      <c r="B7144">
        <f>VLOOKUP(1376,Requirements!A2:B2967,2,FALSE)</f>
        <v/>
      </c>
    </row>
    <row r="7145">
      <c r="A7145" t="inlineStr">
        <is>
          <t xml:space="preserve">emergency </t>
        </is>
      </c>
      <c r="B7145">
        <f>VLOOKUP(1405,Requirements!A2:B2967,2,FALSE)</f>
        <v/>
      </c>
    </row>
    <row r="7146">
      <c r="A7146" t="inlineStr">
        <is>
          <t xml:space="preserve">emergency </t>
        </is>
      </c>
      <c r="B7146">
        <f>VLOOKUP(1413,Requirements!A2:B2967,2,FALSE)</f>
        <v/>
      </c>
    </row>
    <row r="7147">
      <c r="A7147" t="inlineStr">
        <is>
          <t xml:space="preserve">emergency </t>
        </is>
      </c>
      <c r="B7147">
        <f>VLOOKUP(1865,Requirements!A2:B2967,2,FALSE)</f>
        <v/>
      </c>
    </row>
    <row r="7148">
      <c r="A7148" t="inlineStr">
        <is>
          <t xml:space="preserve">emergency </t>
        </is>
      </c>
      <c r="B7148">
        <f>VLOOKUP(2080,Requirements!A2:B2967,2,FALSE)</f>
        <v/>
      </c>
    </row>
    <row r="7149">
      <c r="A7149" t="inlineStr">
        <is>
          <t xml:space="preserve">emergency </t>
        </is>
      </c>
      <c r="B7149">
        <f>VLOOKUP(2279,Requirements!A2:B2967,2,FALSE)</f>
        <v/>
      </c>
    </row>
    <row r="7150">
      <c r="A7150" t="inlineStr">
        <is>
          <t xml:space="preserve">emergency </t>
        </is>
      </c>
      <c r="B7150">
        <f>VLOOKUP(2403,Requirements!A2:B2967,2,FALSE)</f>
        <v/>
      </c>
    </row>
    <row r="7151">
      <c r="A7151" t="inlineStr">
        <is>
          <t xml:space="preserve">emergency </t>
        </is>
      </c>
      <c r="B7151">
        <f>VLOOKUP(2753,Requirements!A2:B2967,2,FALSE)</f>
        <v/>
      </c>
    </row>
    <row r="7152">
      <c r="A7152" t="inlineStr">
        <is>
          <t xml:space="preserve">emergency </t>
        </is>
      </c>
      <c r="B7152">
        <f>VLOOKUP(2994,Requirements!A2:B2967,2,FALSE)</f>
        <v/>
      </c>
    </row>
    <row r="7153">
      <c r="A7153" t="inlineStr">
        <is>
          <t xml:space="preserve">emergency </t>
        </is>
      </c>
      <c r="B7153">
        <f>VLOOKUP(3175,Requirements!A2:B2967,2,FALSE)</f>
        <v/>
      </c>
    </row>
    <row r="7154">
      <c r="A7154" t="inlineStr">
        <is>
          <t xml:space="preserve">active </t>
        </is>
      </c>
      <c r="B7154">
        <f>VLOOKUP(86,Requirements!A2:B2967,2,FALSE)</f>
        <v/>
      </c>
    </row>
    <row r="7155">
      <c r="A7155" t="inlineStr">
        <is>
          <t xml:space="preserve">active </t>
        </is>
      </c>
      <c r="B7155">
        <f>VLOOKUP(340,Requirements!A2:B2967,2,FALSE)</f>
        <v/>
      </c>
    </row>
    <row r="7156">
      <c r="A7156" t="inlineStr">
        <is>
          <t xml:space="preserve">active </t>
        </is>
      </c>
      <c r="B7156">
        <f>VLOOKUP(920,Requirements!A2:B2967,2,FALSE)</f>
        <v/>
      </c>
    </row>
    <row r="7157">
      <c r="A7157" t="inlineStr">
        <is>
          <t xml:space="preserve">active </t>
        </is>
      </c>
      <c r="B7157">
        <f>VLOOKUP(1003,Requirements!A2:B2967,2,FALSE)</f>
        <v/>
      </c>
    </row>
    <row r="7158">
      <c r="A7158" t="inlineStr">
        <is>
          <t xml:space="preserve">active </t>
        </is>
      </c>
      <c r="B7158">
        <f>VLOOKUP(1053,Requirements!A2:B2967,2,FALSE)</f>
        <v/>
      </c>
    </row>
    <row r="7159">
      <c r="A7159" t="inlineStr">
        <is>
          <t xml:space="preserve">active </t>
        </is>
      </c>
      <c r="B7159">
        <f>VLOOKUP(1063,Requirements!A2:B2967,2,FALSE)</f>
        <v/>
      </c>
    </row>
    <row r="7160">
      <c r="A7160" t="inlineStr">
        <is>
          <t xml:space="preserve">active </t>
        </is>
      </c>
      <c r="B7160">
        <f>VLOOKUP(1575,Requirements!A2:B2967,2,FALSE)</f>
        <v/>
      </c>
    </row>
    <row r="7161">
      <c r="A7161" t="inlineStr">
        <is>
          <t xml:space="preserve">active </t>
        </is>
      </c>
      <c r="B7161">
        <f>VLOOKUP(2944,Requirements!A2:B2967,2,FALSE)</f>
        <v/>
      </c>
    </row>
    <row r="7162">
      <c r="A7162" t="inlineStr">
        <is>
          <t xml:space="preserve">movie </t>
        </is>
      </c>
      <c r="B7162">
        <f>VLOOKUP(87,Requirements!A2:B2967,2,FALSE)</f>
        <v/>
      </c>
    </row>
    <row r="7163">
      <c r="A7163" t="inlineStr">
        <is>
          <t xml:space="preserve">movie </t>
        </is>
      </c>
      <c r="B7163">
        <f>VLOOKUP(412,Requirements!A2:B2967,2,FALSE)</f>
        <v/>
      </c>
    </row>
    <row r="7164">
      <c r="A7164" t="inlineStr">
        <is>
          <t xml:space="preserve">movie </t>
        </is>
      </c>
      <c r="B7164">
        <f>VLOOKUP(509,Requirements!A2:B2967,2,FALSE)</f>
        <v/>
      </c>
    </row>
    <row r="7165">
      <c r="A7165" t="inlineStr">
        <is>
          <t xml:space="preserve">movie </t>
        </is>
      </c>
      <c r="B7165">
        <f>VLOOKUP(932,Requirements!A2:B2967,2,FALSE)</f>
        <v/>
      </c>
    </row>
    <row r="7166">
      <c r="A7166" t="inlineStr">
        <is>
          <t xml:space="preserve">movie </t>
        </is>
      </c>
      <c r="B7166">
        <f>VLOOKUP(1045,Requirements!A2:B2967,2,FALSE)</f>
        <v/>
      </c>
    </row>
    <row r="7167">
      <c r="A7167" t="inlineStr">
        <is>
          <t xml:space="preserve">movie </t>
        </is>
      </c>
      <c r="B7167">
        <f>VLOOKUP(1091,Requirements!A2:B2967,2,FALSE)</f>
        <v/>
      </c>
    </row>
    <row r="7168">
      <c r="A7168" t="inlineStr">
        <is>
          <t xml:space="preserve">movie </t>
        </is>
      </c>
      <c r="B7168">
        <f>VLOOKUP(1100,Requirements!A2:B2967,2,FALSE)</f>
        <v/>
      </c>
    </row>
    <row r="7169">
      <c r="A7169" t="inlineStr">
        <is>
          <t xml:space="preserve">movie </t>
        </is>
      </c>
      <c r="B7169">
        <f>VLOOKUP(1223,Requirements!A2:B2967,2,FALSE)</f>
        <v/>
      </c>
    </row>
    <row r="7170">
      <c r="A7170" t="inlineStr">
        <is>
          <t xml:space="preserve">movie </t>
        </is>
      </c>
      <c r="B7170">
        <f>VLOOKUP(1350,Requirements!A2:B2967,2,FALSE)</f>
        <v/>
      </c>
    </row>
    <row r="7171">
      <c r="A7171" t="inlineStr">
        <is>
          <t xml:space="preserve">movie </t>
        </is>
      </c>
      <c r="B7171">
        <f>VLOOKUP(1642,Requirements!A2:B2967,2,FALSE)</f>
        <v/>
      </c>
    </row>
    <row r="7172">
      <c r="A7172" t="inlineStr">
        <is>
          <t xml:space="preserve">movie </t>
        </is>
      </c>
      <c r="B7172">
        <f>VLOOKUP(1994,Requirements!A2:B2967,2,FALSE)</f>
        <v/>
      </c>
    </row>
    <row r="7173">
      <c r="A7173" t="inlineStr">
        <is>
          <t xml:space="preserve">movie </t>
        </is>
      </c>
      <c r="B7173">
        <f>VLOOKUP(2257,Requirements!A2:B2967,2,FALSE)</f>
        <v/>
      </c>
    </row>
    <row r="7174">
      <c r="A7174" t="inlineStr">
        <is>
          <t xml:space="preserve">movie </t>
        </is>
      </c>
      <c r="B7174">
        <f>VLOOKUP(2413,Requirements!A2:B2967,2,FALSE)</f>
        <v/>
      </c>
    </row>
    <row r="7175">
      <c r="A7175" t="inlineStr">
        <is>
          <t xml:space="preserve">movie </t>
        </is>
      </c>
      <c r="B7175">
        <f>VLOOKUP(2433,Requirements!A2:B2967,2,FALSE)</f>
        <v/>
      </c>
    </row>
    <row r="7176">
      <c r="A7176" t="inlineStr">
        <is>
          <t xml:space="preserve">movie </t>
        </is>
      </c>
      <c r="B7176">
        <f>VLOOKUP(2484,Requirements!A2:B2967,2,FALSE)</f>
        <v/>
      </c>
    </row>
    <row r="7177">
      <c r="A7177" t="inlineStr">
        <is>
          <t xml:space="preserve">movie </t>
        </is>
      </c>
      <c r="B7177">
        <f>VLOOKUP(2488,Requirements!A2:B2967,2,FALSE)</f>
        <v/>
      </c>
    </row>
    <row r="7178">
      <c r="A7178" t="inlineStr">
        <is>
          <t xml:space="preserve">movie </t>
        </is>
      </c>
      <c r="B7178">
        <f>VLOOKUP(2496,Requirements!A2:B2967,2,FALSE)</f>
        <v/>
      </c>
    </row>
    <row r="7179">
      <c r="A7179" t="inlineStr">
        <is>
          <t xml:space="preserve">movie </t>
        </is>
      </c>
      <c r="B7179">
        <f>VLOOKUP(2637,Requirements!A2:B2967,2,FALSE)</f>
        <v/>
      </c>
    </row>
    <row r="7180">
      <c r="A7180" t="inlineStr">
        <is>
          <t xml:space="preserve">movie </t>
        </is>
      </c>
      <c r="B7180">
        <f>VLOOKUP(2676,Requirements!A2:B2967,2,FALSE)</f>
        <v/>
      </c>
    </row>
    <row r="7181">
      <c r="A7181" t="inlineStr">
        <is>
          <t xml:space="preserve">movie </t>
        </is>
      </c>
      <c r="B7181">
        <f>VLOOKUP(2723,Requirements!A2:B2967,2,FALSE)</f>
        <v/>
      </c>
    </row>
    <row r="7182">
      <c r="A7182" t="inlineStr">
        <is>
          <t xml:space="preserve">movie </t>
        </is>
      </c>
      <c r="B7182">
        <f>VLOOKUP(2866,Requirements!A2:B2967,2,FALSE)</f>
        <v/>
      </c>
    </row>
    <row r="7183">
      <c r="A7183" t="inlineStr">
        <is>
          <t xml:space="preserve">movie </t>
        </is>
      </c>
      <c r="B7183">
        <f>VLOOKUP(3089,Requirements!A2:B2967,2,FALSE)</f>
        <v/>
      </c>
    </row>
    <row r="7184">
      <c r="A7184" t="inlineStr">
        <is>
          <t xml:space="preserve">movie </t>
        </is>
      </c>
      <c r="B7184">
        <f>VLOOKUP(3117,Requirements!A2:B2967,2,FALSE)</f>
        <v/>
      </c>
    </row>
    <row r="7185">
      <c r="A7185" t="inlineStr">
        <is>
          <t xml:space="preserve">movie </t>
        </is>
      </c>
      <c r="B7185">
        <f>VLOOKUP(3168,Requirements!A2:B2967,2,FALSE)</f>
        <v/>
      </c>
    </row>
    <row r="7186">
      <c r="A7186" t="inlineStr">
        <is>
          <t xml:space="preserve">inside </t>
        </is>
      </c>
      <c r="B7186">
        <f>VLOOKUP(88,Requirements!A2:B2967,2,FALSE)</f>
        <v/>
      </c>
    </row>
    <row r="7187">
      <c r="A7187" t="inlineStr">
        <is>
          <t xml:space="preserve">inside </t>
        </is>
      </c>
      <c r="B7187">
        <f>VLOOKUP(274,Requirements!A2:B2967,2,FALSE)</f>
        <v/>
      </c>
    </row>
    <row r="7188">
      <c r="A7188" t="inlineStr">
        <is>
          <t xml:space="preserve">inside </t>
        </is>
      </c>
      <c r="B7188">
        <f>VLOOKUP(279,Requirements!A2:B2967,2,FALSE)</f>
        <v/>
      </c>
    </row>
    <row r="7189">
      <c r="A7189" t="inlineStr">
        <is>
          <t xml:space="preserve">inside </t>
        </is>
      </c>
      <c r="B7189">
        <f>VLOOKUP(281,Requirements!A2:B2967,2,FALSE)</f>
        <v/>
      </c>
    </row>
    <row r="7190">
      <c r="A7190" t="inlineStr">
        <is>
          <t xml:space="preserve">inside </t>
        </is>
      </c>
      <c r="B7190">
        <f>VLOOKUP(284,Requirements!A2:B2967,2,FALSE)</f>
        <v/>
      </c>
    </row>
    <row r="7191">
      <c r="A7191" t="inlineStr">
        <is>
          <t xml:space="preserve">inside </t>
        </is>
      </c>
      <c r="B7191">
        <f>VLOOKUP(347,Requirements!A2:B2967,2,FALSE)</f>
        <v/>
      </c>
    </row>
    <row r="7192">
      <c r="A7192" t="inlineStr">
        <is>
          <t xml:space="preserve">inside </t>
        </is>
      </c>
      <c r="B7192">
        <f>VLOOKUP(376,Requirements!A2:B2967,2,FALSE)</f>
        <v/>
      </c>
    </row>
    <row r="7193">
      <c r="A7193" t="inlineStr">
        <is>
          <t xml:space="preserve">inside </t>
        </is>
      </c>
      <c r="B7193">
        <f>VLOOKUP(575,Requirements!A2:B2967,2,FALSE)</f>
        <v/>
      </c>
    </row>
    <row r="7194">
      <c r="A7194" t="inlineStr">
        <is>
          <t xml:space="preserve">inside </t>
        </is>
      </c>
      <c r="B7194">
        <f>VLOOKUP(732,Requirements!A2:B2967,2,FALSE)</f>
        <v/>
      </c>
    </row>
    <row r="7195">
      <c r="A7195" t="inlineStr">
        <is>
          <t xml:space="preserve">inside </t>
        </is>
      </c>
      <c r="B7195">
        <f>VLOOKUP(735,Requirements!A2:B2967,2,FALSE)</f>
        <v/>
      </c>
    </row>
    <row r="7196">
      <c r="A7196" t="inlineStr">
        <is>
          <t xml:space="preserve">inside </t>
        </is>
      </c>
      <c r="B7196">
        <f>VLOOKUP(907,Requirements!A2:B2967,2,FALSE)</f>
        <v/>
      </c>
    </row>
    <row r="7197">
      <c r="A7197" t="inlineStr">
        <is>
          <t xml:space="preserve">inside </t>
        </is>
      </c>
      <c r="B7197">
        <f>VLOOKUP(914,Requirements!A2:B2967,2,FALSE)</f>
        <v/>
      </c>
    </row>
    <row r="7198">
      <c r="A7198" t="inlineStr">
        <is>
          <t xml:space="preserve">inside </t>
        </is>
      </c>
      <c r="B7198">
        <f>VLOOKUP(930,Requirements!A2:B2967,2,FALSE)</f>
        <v/>
      </c>
    </row>
    <row r="7199">
      <c r="A7199" t="inlineStr">
        <is>
          <t xml:space="preserve">inside </t>
        </is>
      </c>
      <c r="B7199">
        <f>VLOOKUP(1089,Requirements!A2:B2967,2,FALSE)</f>
        <v/>
      </c>
    </row>
    <row r="7200">
      <c r="A7200" t="inlineStr">
        <is>
          <t xml:space="preserve">inside </t>
        </is>
      </c>
      <c r="B7200">
        <f>VLOOKUP(1202,Requirements!A2:B2967,2,FALSE)</f>
        <v/>
      </c>
    </row>
    <row r="7201">
      <c r="A7201" t="inlineStr">
        <is>
          <t xml:space="preserve">inside </t>
        </is>
      </c>
      <c r="B7201">
        <f>VLOOKUP(1285,Requirements!A2:B2967,2,FALSE)</f>
        <v/>
      </c>
    </row>
    <row r="7202">
      <c r="A7202" t="inlineStr">
        <is>
          <t xml:space="preserve">inside </t>
        </is>
      </c>
      <c r="B7202">
        <f>VLOOKUP(1584,Requirements!A2:B2967,2,FALSE)</f>
        <v/>
      </c>
    </row>
    <row r="7203">
      <c r="A7203" t="inlineStr">
        <is>
          <t xml:space="preserve">inside </t>
        </is>
      </c>
      <c r="B7203">
        <f>VLOOKUP(1607,Requirements!A2:B2967,2,FALSE)</f>
        <v/>
      </c>
    </row>
    <row r="7204">
      <c r="A7204" t="inlineStr">
        <is>
          <t xml:space="preserve">inside </t>
        </is>
      </c>
      <c r="B7204">
        <f>VLOOKUP(1623,Requirements!A2:B2967,2,FALSE)</f>
        <v/>
      </c>
    </row>
    <row r="7205">
      <c r="A7205" t="inlineStr">
        <is>
          <t xml:space="preserve">inside </t>
        </is>
      </c>
      <c r="B7205">
        <f>VLOOKUP(1675,Requirements!A2:B2967,2,FALSE)</f>
        <v/>
      </c>
    </row>
    <row r="7206">
      <c r="A7206" t="inlineStr">
        <is>
          <t xml:space="preserve">inside </t>
        </is>
      </c>
      <c r="B7206">
        <f>VLOOKUP(1894,Requirements!A2:B2967,2,FALSE)</f>
        <v/>
      </c>
    </row>
    <row r="7207">
      <c r="A7207" t="inlineStr">
        <is>
          <t xml:space="preserve">inside </t>
        </is>
      </c>
      <c r="B7207">
        <f>VLOOKUP(1916,Requirements!A2:B2967,2,FALSE)</f>
        <v/>
      </c>
    </row>
    <row r="7208">
      <c r="A7208" t="inlineStr">
        <is>
          <t xml:space="preserve">inside </t>
        </is>
      </c>
      <c r="B7208">
        <f>VLOOKUP(1934,Requirements!A2:B2967,2,FALSE)</f>
        <v/>
      </c>
    </row>
    <row r="7209">
      <c r="A7209" t="inlineStr">
        <is>
          <t xml:space="preserve">inside </t>
        </is>
      </c>
      <c r="B7209">
        <f>VLOOKUP(1943,Requirements!A2:B2967,2,FALSE)</f>
        <v/>
      </c>
    </row>
    <row r="7210">
      <c r="A7210" t="inlineStr">
        <is>
          <t xml:space="preserve">inside </t>
        </is>
      </c>
      <c r="B7210">
        <f>VLOOKUP(2218,Requirements!A2:B2967,2,FALSE)</f>
        <v/>
      </c>
    </row>
    <row r="7211">
      <c r="A7211" t="inlineStr">
        <is>
          <t xml:space="preserve">inside </t>
        </is>
      </c>
      <c r="B7211">
        <f>VLOOKUP(2359,Requirements!A2:B2967,2,FALSE)</f>
        <v/>
      </c>
    </row>
    <row r="7212">
      <c r="A7212" t="inlineStr">
        <is>
          <t xml:space="preserve">inside </t>
        </is>
      </c>
      <c r="B7212">
        <f>VLOOKUP(2372,Requirements!A2:B2967,2,FALSE)</f>
        <v/>
      </c>
    </row>
    <row r="7213">
      <c r="A7213" t="inlineStr">
        <is>
          <t xml:space="preserve">inside </t>
        </is>
      </c>
      <c r="B7213">
        <f>VLOOKUP(2396,Requirements!A2:B2967,2,FALSE)</f>
        <v/>
      </c>
    </row>
    <row r="7214">
      <c r="A7214" t="inlineStr">
        <is>
          <t xml:space="preserve">inside </t>
        </is>
      </c>
      <c r="B7214">
        <f>VLOOKUP(2430,Requirements!A2:B2967,2,FALSE)</f>
        <v/>
      </c>
    </row>
    <row r="7215">
      <c r="A7215" t="inlineStr">
        <is>
          <t xml:space="preserve">inside </t>
        </is>
      </c>
      <c r="B7215">
        <f>VLOOKUP(2489,Requirements!A2:B2967,2,FALSE)</f>
        <v/>
      </c>
    </row>
    <row r="7216">
      <c r="A7216" t="inlineStr">
        <is>
          <t xml:space="preserve">inside </t>
        </is>
      </c>
      <c r="B7216">
        <f>VLOOKUP(2573,Requirements!A2:B2967,2,FALSE)</f>
        <v/>
      </c>
    </row>
    <row r="7217">
      <c r="A7217" t="inlineStr">
        <is>
          <t xml:space="preserve">inside </t>
        </is>
      </c>
      <c r="B7217">
        <f>VLOOKUP(2639,Requirements!A2:B2967,2,FALSE)</f>
        <v/>
      </c>
    </row>
    <row r="7218">
      <c r="A7218" t="inlineStr">
        <is>
          <t xml:space="preserve">inside </t>
        </is>
      </c>
      <c r="B7218">
        <f>VLOOKUP(2743,Requirements!A2:B2967,2,FALSE)</f>
        <v/>
      </c>
    </row>
    <row r="7219">
      <c r="A7219" t="inlineStr">
        <is>
          <t xml:space="preserve">inside </t>
        </is>
      </c>
      <c r="B7219">
        <f>VLOOKUP(2786,Requirements!A2:B2967,2,FALSE)</f>
        <v/>
      </c>
    </row>
    <row r="7220">
      <c r="A7220" t="inlineStr">
        <is>
          <t xml:space="preserve">inside </t>
        </is>
      </c>
      <c r="B7220">
        <f>VLOOKUP(2958,Requirements!A2:B2967,2,FALSE)</f>
        <v/>
      </c>
    </row>
    <row r="7221">
      <c r="A7221" t="inlineStr">
        <is>
          <t xml:space="preserve">environment </t>
        </is>
      </c>
      <c r="B7221">
        <f>VLOOKUP(89,Requirements!A2:B2967,2,FALSE)</f>
        <v/>
      </c>
    </row>
    <row r="7222">
      <c r="A7222" t="inlineStr">
        <is>
          <t xml:space="preserve">environment </t>
        </is>
      </c>
      <c r="B7222">
        <f>VLOOKUP(336,Requirements!A2:B2967,2,FALSE)</f>
        <v/>
      </c>
    </row>
    <row r="7223">
      <c r="A7223" t="inlineStr">
        <is>
          <t xml:space="preserve">environment </t>
        </is>
      </c>
      <c r="B7223">
        <f>VLOOKUP(424,Requirements!A2:B2967,2,FALSE)</f>
        <v/>
      </c>
    </row>
    <row r="7224">
      <c r="A7224" t="inlineStr">
        <is>
          <t xml:space="preserve">environment </t>
        </is>
      </c>
      <c r="B7224">
        <f>VLOOKUP(762,Requirements!A2:B2967,2,FALSE)</f>
        <v/>
      </c>
    </row>
    <row r="7225">
      <c r="A7225" t="inlineStr">
        <is>
          <t xml:space="preserve">environment </t>
        </is>
      </c>
      <c r="B7225">
        <f>VLOOKUP(918,Requirements!A2:B2967,2,FALSE)</f>
        <v/>
      </c>
    </row>
    <row r="7226">
      <c r="A7226" t="inlineStr">
        <is>
          <t xml:space="preserve">environment </t>
        </is>
      </c>
      <c r="B7226">
        <f>VLOOKUP(1702,Requirements!A2:B2967,2,FALSE)</f>
        <v/>
      </c>
    </row>
    <row r="7227">
      <c r="A7227" t="inlineStr">
        <is>
          <t xml:space="preserve">environment </t>
        </is>
      </c>
      <c r="B7227">
        <f>VLOOKUP(3211,Requirements!A2:B2967,2,FALSE)</f>
        <v/>
      </c>
    </row>
    <row r="7228">
      <c r="A7228" t="inlineStr">
        <is>
          <t xml:space="preserve">environment </t>
        </is>
      </c>
      <c r="B7228">
        <f>VLOOKUP(3271,Requirements!A2:B2967,2,FALSE)</f>
        <v/>
      </c>
    </row>
    <row r="7229">
      <c r="A7229" t="inlineStr">
        <is>
          <t xml:space="preserve">type </t>
        </is>
      </c>
      <c r="B7229">
        <f>VLOOKUP(90,Requirements!A2:B2967,2,FALSE)</f>
        <v/>
      </c>
    </row>
    <row r="7230">
      <c r="A7230" t="inlineStr">
        <is>
          <t xml:space="preserve">type </t>
        </is>
      </c>
      <c r="B7230">
        <f>VLOOKUP(578,Requirements!A2:B2967,2,FALSE)</f>
        <v/>
      </c>
    </row>
    <row r="7231">
      <c r="A7231" t="inlineStr">
        <is>
          <t xml:space="preserve">type </t>
        </is>
      </c>
      <c r="B7231">
        <f>VLOOKUP(859,Requirements!A2:B2967,2,FALSE)</f>
        <v/>
      </c>
    </row>
    <row r="7232">
      <c r="A7232" t="inlineStr">
        <is>
          <t xml:space="preserve">type </t>
        </is>
      </c>
      <c r="B7232">
        <f>VLOOKUP(1082,Requirements!A2:B2967,2,FALSE)</f>
        <v/>
      </c>
    </row>
    <row r="7233">
      <c r="A7233" t="inlineStr">
        <is>
          <t xml:space="preserve">type </t>
        </is>
      </c>
      <c r="B7233">
        <f>VLOOKUP(1202,Requirements!A2:B2967,2,FALSE)</f>
        <v/>
      </c>
    </row>
    <row r="7234">
      <c r="A7234" t="inlineStr">
        <is>
          <t xml:space="preserve">type </t>
        </is>
      </c>
      <c r="B7234">
        <f>VLOOKUP(1408,Requirements!A2:B2967,2,FALSE)</f>
        <v/>
      </c>
    </row>
    <row r="7235">
      <c r="A7235" t="inlineStr">
        <is>
          <t xml:space="preserve">type </t>
        </is>
      </c>
      <c r="B7235">
        <f>VLOOKUP(2811,Requirements!A2:B2967,2,FALSE)</f>
        <v/>
      </c>
    </row>
    <row r="7236">
      <c r="A7236" t="inlineStr">
        <is>
          <t xml:space="preserve">floor </t>
        </is>
      </c>
      <c r="B7236">
        <f>VLOOKUP(91,Requirements!A2:B2967,2,FALSE)</f>
        <v/>
      </c>
    </row>
    <row r="7237">
      <c r="A7237" t="inlineStr">
        <is>
          <t xml:space="preserve">floor </t>
        </is>
      </c>
      <c r="B7237">
        <f>VLOOKUP(145,Requirements!A2:B2967,2,FALSE)</f>
        <v/>
      </c>
    </row>
    <row r="7238">
      <c r="A7238" t="inlineStr">
        <is>
          <t xml:space="preserve">floor </t>
        </is>
      </c>
      <c r="B7238">
        <f>VLOOKUP(240,Requirements!A2:B2967,2,FALSE)</f>
        <v/>
      </c>
    </row>
    <row r="7239">
      <c r="A7239" t="inlineStr">
        <is>
          <t xml:space="preserve">floor </t>
        </is>
      </c>
      <c r="B7239">
        <f>VLOOKUP(267,Requirements!A2:B2967,2,FALSE)</f>
        <v/>
      </c>
    </row>
    <row r="7240">
      <c r="A7240" t="inlineStr">
        <is>
          <t xml:space="preserve">floor </t>
        </is>
      </c>
      <c r="B7240">
        <f>VLOOKUP(519,Requirements!A2:B2967,2,FALSE)</f>
        <v/>
      </c>
    </row>
    <row r="7241">
      <c r="A7241" t="inlineStr">
        <is>
          <t xml:space="preserve">floor </t>
        </is>
      </c>
      <c r="B7241">
        <f>VLOOKUP(543,Requirements!A2:B2967,2,FALSE)</f>
        <v/>
      </c>
    </row>
    <row r="7242">
      <c r="A7242" t="inlineStr">
        <is>
          <t xml:space="preserve">floor </t>
        </is>
      </c>
      <c r="B7242">
        <f>VLOOKUP(553,Requirements!A2:B2967,2,FALSE)</f>
        <v/>
      </c>
    </row>
    <row r="7243">
      <c r="A7243" t="inlineStr">
        <is>
          <t xml:space="preserve">floor </t>
        </is>
      </c>
      <c r="B7243">
        <f>VLOOKUP(585,Requirements!A2:B2967,2,FALSE)</f>
        <v/>
      </c>
    </row>
    <row r="7244">
      <c r="A7244" t="inlineStr">
        <is>
          <t xml:space="preserve">floor </t>
        </is>
      </c>
      <c r="B7244">
        <f>VLOOKUP(1034,Requirements!A2:B2967,2,FALSE)</f>
        <v/>
      </c>
    </row>
    <row r="7245">
      <c r="A7245" t="inlineStr">
        <is>
          <t xml:space="preserve">floor </t>
        </is>
      </c>
      <c r="B7245">
        <f>VLOOKUP(1040,Requirements!A2:B2967,2,FALSE)</f>
        <v/>
      </c>
    </row>
    <row r="7246">
      <c r="A7246" t="inlineStr">
        <is>
          <t xml:space="preserve">floor </t>
        </is>
      </c>
      <c r="B7246">
        <f>VLOOKUP(1049,Requirements!A2:B2967,2,FALSE)</f>
        <v/>
      </c>
    </row>
    <row r="7247">
      <c r="A7247" t="inlineStr">
        <is>
          <t xml:space="preserve">floor </t>
        </is>
      </c>
      <c r="B7247">
        <f>VLOOKUP(1093,Requirements!A2:B2967,2,FALSE)</f>
        <v/>
      </c>
    </row>
    <row r="7248">
      <c r="A7248" t="inlineStr">
        <is>
          <t xml:space="preserve">floor </t>
        </is>
      </c>
      <c r="B7248">
        <f>VLOOKUP(1201,Requirements!A2:B2967,2,FALSE)</f>
        <v/>
      </c>
    </row>
    <row r="7249">
      <c r="A7249" t="inlineStr">
        <is>
          <t xml:space="preserve">floor </t>
        </is>
      </c>
      <c r="B7249">
        <f>VLOOKUP(1261,Requirements!A2:B2967,2,FALSE)</f>
        <v/>
      </c>
    </row>
    <row r="7250">
      <c r="A7250" t="inlineStr">
        <is>
          <t xml:space="preserve">floor </t>
        </is>
      </c>
      <c r="B7250">
        <f>VLOOKUP(1443,Requirements!A2:B2967,2,FALSE)</f>
        <v/>
      </c>
    </row>
    <row r="7251">
      <c r="A7251" t="inlineStr">
        <is>
          <t xml:space="preserve">floor </t>
        </is>
      </c>
      <c r="B7251">
        <f>VLOOKUP(1569,Requirements!A2:B2967,2,FALSE)</f>
        <v/>
      </c>
    </row>
    <row r="7252">
      <c r="A7252" t="inlineStr">
        <is>
          <t xml:space="preserve">floor </t>
        </is>
      </c>
      <c r="B7252">
        <f>VLOOKUP(1603,Requirements!A2:B2967,2,FALSE)</f>
        <v/>
      </c>
    </row>
    <row r="7253">
      <c r="A7253" t="inlineStr">
        <is>
          <t xml:space="preserve">floor </t>
        </is>
      </c>
      <c r="B7253">
        <f>VLOOKUP(1801,Requirements!A2:B2967,2,FALSE)</f>
        <v/>
      </c>
    </row>
    <row r="7254">
      <c r="A7254" t="inlineStr">
        <is>
          <t xml:space="preserve">floor </t>
        </is>
      </c>
      <c r="B7254">
        <f>VLOOKUP(1823,Requirements!A2:B2967,2,FALSE)</f>
        <v/>
      </c>
    </row>
    <row r="7255">
      <c r="A7255" t="inlineStr">
        <is>
          <t xml:space="preserve">floor </t>
        </is>
      </c>
      <c r="B7255">
        <f>VLOOKUP(1837,Requirements!A2:B2967,2,FALSE)</f>
        <v/>
      </c>
    </row>
    <row r="7256">
      <c r="A7256" t="inlineStr">
        <is>
          <t xml:space="preserve">floor </t>
        </is>
      </c>
      <c r="B7256">
        <f>VLOOKUP(1908,Requirements!A2:B2967,2,FALSE)</f>
        <v/>
      </c>
    </row>
    <row r="7257">
      <c r="A7257" t="inlineStr">
        <is>
          <t xml:space="preserve">floor </t>
        </is>
      </c>
      <c r="B7257">
        <f>VLOOKUP(1945,Requirements!A2:B2967,2,FALSE)</f>
        <v/>
      </c>
    </row>
    <row r="7258">
      <c r="A7258" t="inlineStr">
        <is>
          <t xml:space="preserve">floor </t>
        </is>
      </c>
      <c r="B7258">
        <f>VLOOKUP(1993,Requirements!A2:B2967,2,FALSE)</f>
        <v/>
      </c>
    </row>
    <row r="7259">
      <c r="A7259" t="inlineStr">
        <is>
          <t xml:space="preserve">floor </t>
        </is>
      </c>
      <c r="B7259">
        <f>VLOOKUP(2043,Requirements!A2:B2967,2,FALSE)</f>
        <v/>
      </c>
    </row>
    <row r="7260">
      <c r="A7260" t="inlineStr">
        <is>
          <t xml:space="preserve">floor </t>
        </is>
      </c>
      <c r="B7260">
        <f>VLOOKUP(2081,Requirements!A2:B2967,2,FALSE)</f>
        <v/>
      </c>
    </row>
    <row r="7261">
      <c r="A7261" t="inlineStr">
        <is>
          <t xml:space="preserve">floor </t>
        </is>
      </c>
      <c r="B7261">
        <f>VLOOKUP(2085,Requirements!A2:B2967,2,FALSE)</f>
        <v/>
      </c>
    </row>
    <row r="7262">
      <c r="A7262" t="inlineStr">
        <is>
          <t xml:space="preserve">floor </t>
        </is>
      </c>
      <c r="B7262">
        <f>VLOOKUP(2209,Requirements!A2:B2967,2,FALSE)</f>
        <v/>
      </c>
    </row>
    <row r="7263">
      <c r="A7263" t="inlineStr">
        <is>
          <t xml:space="preserve">floor </t>
        </is>
      </c>
      <c r="B7263">
        <f>VLOOKUP(2243,Requirements!A2:B2967,2,FALSE)</f>
        <v/>
      </c>
    </row>
    <row r="7264">
      <c r="A7264" t="inlineStr">
        <is>
          <t xml:space="preserve">floor </t>
        </is>
      </c>
      <c r="B7264">
        <f>VLOOKUP(2350,Requirements!A2:B2967,2,FALSE)</f>
        <v/>
      </c>
    </row>
    <row r="7265">
      <c r="A7265" t="inlineStr">
        <is>
          <t xml:space="preserve">floor </t>
        </is>
      </c>
      <c r="B7265">
        <f>VLOOKUP(2421,Requirements!A2:B2967,2,FALSE)</f>
        <v/>
      </c>
    </row>
    <row r="7266">
      <c r="A7266" t="inlineStr">
        <is>
          <t xml:space="preserve">floor </t>
        </is>
      </c>
      <c r="B7266">
        <f>VLOOKUP(2438,Requirements!A2:B2967,2,FALSE)</f>
        <v/>
      </c>
    </row>
    <row r="7267">
      <c r="A7267" t="inlineStr">
        <is>
          <t xml:space="preserve">floor </t>
        </is>
      </c>
      <c r="B7267">
        <f>VLOOKUP(2600,Requirements!A2:B2967,2,FALSE)</f>
        <v/>
      </c>
    </row>
    <row r="7268">
      <c r="A7268" t="inlineStr">
        <is>
          <t xml:space="preserve">floor </t>
        </is>
      </c>
      <c r="B7268">
        <f>VLOOKUP(2682,Requirements!A2:B2967,2,FALSE)</f>
        <v/>
      </c>
    </row>
    <row r="7269">
      <c r="A7269" t="inlineStr">
        <is>
          <t xml:space="preserve">floor </t>
        </is>
      </c>
      <c r="B7269">
        <f>VLOOKUP(2709,Requirements!A2:B2967,2,FALSE)</f>
        <v/>
      </c>
    </row>
    <row r="7270">
      <c r="A7270" t="inlineStr">
        <is>
          <t xml:space="preserve">floor </t>
        </is>
      </c>
      <c r="B7270">
        <f>VLOOKUP(2776,Requirements!A2:B2967,2,FALSE)</f>
        <v/>
      </c>
    </row>
    <row r="7271">
      <c r="A7271" t="inlineStr">
        <is>
          <t xml:space="preserve">floor </t>
        </is>
      </c>
      <c r="B7271">
        <f>VLOOKUP(2950,Requirements!A2:B2967,2,FALSE)</f>
        <v/>
      </c>
    </row>
    <row r="7272">
      <c r="A7272" t="inlineStr">
        <is>
          <t xml:space="preserve">floor </t>
        </is>
      </c>
      <c r="B7272">
        <f>VLOOKUP(3000,Requirements!A2:B2967,2,FALSE)</f>
        <v/>
      </c>
    </row>
    <row r="7273">
      <c r="A7273" t="inlineStr">
        <is>
          <t xml:space="preserve">floor </t>
        </is>
      </c>
      <c r="B7273">
        <f>VLOOKUP(3014,Requirements!A2:B2967,2,FALSE)</f>
        <v/>
      </c>
    </row>
    <row r="7274">
      <c r="A7274" t="inlineStr">
        <is>
          <t xml:space="preserve">floor </t>
        </is>
      </c>
      <c r="B7274">
        <f>VLOOKUP(3069,Requirements!A2:B2967,2,FALSE)</f>
        <v/>
      </c>
    </row>
    <row r="7275">
      <c r="A7275" t="inlineStr">
        <is>
          <t xml:space="preserve">floor </t>
        </is>
      </c>
      <c r="B7275">
        <f>VLOOKUP(3197,Requirements!A2:B2967,2,FALSE)</f>
        <v/>
      </c>
    </row>
    <row r="7276">
      <c r="A7276" t="inlineStr">
        <is>
          <t xml:space="preserve">floor </t>
        </is>
      </c>
      <c r="B7276">
        <f>VLOOKUP(3231,Requirements!A2:B2967,2,FALSE)</f>
        <v/>
      </c>
    </row>
    <row r="7277">
      <c r="A7277" t="inlineStr">
        <is>
          <t xml:space="preserve">floor </t>
        </is>
      </c>
      <c r="B7277">
        <f>VLOOKUP(3252,Requirements!A2:B2967,2,FALSE)</f>
        <v/>
      </c>
    </row>
    <row r="7278">
      <c r="A7278" t="inlineStr">
        <is>
          <t xml:space="preserve">music lover </t>
        </is>
      </c>
      <c r="B7278">
        <f>VLOOKUP(92,Requirements!A2:B2967,2,FALSE)</f>
        <v/>
      </c>
    </row>
    <row r="7279">
      <c r="A7279" t="inlineStr">
        <is>
          <t xml:space="preserve">music lover </t>
        </is>
      </c>
      <c r="B7279">
        <f>VLOOKUP(126,Requirements!A2:B2967,2,FALSE)</f>
        <v/>
      </c>
    </row>
    <row r="7280">
      <c r="A7280" t="inlineStr">
        <is>
          <t xml:space="preserve">music lover </t>
        </is>
      </c>
      <c r="B7280">
        <f>VLOOKUP(372,Requirements!A2:B2967,2,FALSE)</f>
        <v/>
      </c>
    </row>
    <row r="7281">
      <c r="A7281" t="inlineStr">
        <is>
          <t xml:space="preserve">music lover </t>
        </is>
      </c>
      <c r="B7281">
        <f>VLOOKUP(507,Requirements!A2:B2967,2,FALSE)</f>
        <v/>
      </c>
    </row>
    <row r="7282">
      <c r="A7282" t="inlineStr">
        <is>
          <t xml:space="preserve">music lover </t>
        </is>
      </c>
      <c r="B7282">
        <f>VLOOKUP(728,Requirements!A2:B2967,2,FALSE)</f>
        <v/>
      </c>
    </row>
    <row r="7283">
      <c r="A7283" t="inlineStr">
        <is>
          <t xml:space="preserve">music lover </t>
        </is>
      </c>
      <c r="B7283">
        <f>VLOOKUP(960,Requirements!A2:B2967,2,FALSE)</f>
        <v/>
      </c>
    </row>
    <row r="7284">
      <c r="A7284" t="inlineStr">
        <is>
          <t xml:space="preserve">music lover </t>
        </is>
      </c>
      <c r="B7284">
        <f>VLOOKUP(1082,Requirements!A2:B2967,2,FALSE)</f>
        <v/>
      </c>
    </row>
    <row r="7285">
      <c r="A7285" t="inlineStr">
        <is>
          <t xml:space="preserve">music lover </t>
        </is>
      </c>
      <c r="B7285">
        <f>VLOOKUP(1125,Requirements!A2:B2967,2,FALSE)</f>
        <v/>
      </c>
    </row>
    <row r="7286">
      <c r="A7286" t="inlineStr">
        <is>
          <t xml:space="preserve">music lover </t>
        </is>
      </c>
      <c r="B7286">
        <f>VLOOKUP(1430,Requirements!A2:B2967,2,FALSE)</f>
        <v/>
      </c>
    </row>
    <row r="7287">
      <c r="A7287" t="inlineStr">
        <is>
          <t xml:space="preserve">music lover </t>
        </is>
      </c>
      <c r="B7287">
        <f>VLOOKUP(1441,Requirements!A2:B2967,2,FALSE)</f>
        <v/>
      </c>
    </row>
    <row r="7288">
      <c r="A7288" t="inlineStr">
        <is>
          <t xml:space="preserve">music lover </t>
        </is>
      </c>
      <c r="B7288">
        <f>VLOOKUP(1807,Requirements!A2:B2967,2,FALSE)</f>
        <v/>
      </c>
    </row>
    <row r="7289">
      <c r="A7289" t="inlineStr">
        <is>
          <t xml:space="preserve">music lover </t>
        </is>
      </c>
      <c r="B7289">
        <f>VLOOKUP(1824,Requirements!A2:B2967,2,FALSE)</f>
        <v/>
      </c>
    </row>
    <row r="7290">
      <c r="A7290" t="inlineStr">
        <is>
          <t xml:space="preserve">music lover </t>
        </is>
      </c>
      <c r="B7290">
        <f>VLOOKUP(1838,Requirements!A2:B2967,2,FALSE)</f>
        <v/>
      </c>
    </row>
    <row r="7291">
      <c r="A7291" t="inlineStr">
        <is>
          <t xml:space="preserve">music lover </t>
        </is>
      </c>
      <c r="B7291">
        <f>VLOOKUP(1840,Requirements!A2:B2967,2,FALSE)</f>
        <v/>
      </c>
    </row>
    <row r="7292">
      <c r="A7292" t="inlineStr">
        <is>
          <t xml:space="preserve">music lover </t>
        </is>
      </c>
      <c r="B7292">
        <f>VLOOKUP(1864,Requirements!A2:B2967,2,FALSE)</f>
        <v/>
      </c>
    </row>
    <row r="7293">
      <c r="A7293" t="inlineStr">
        <is>
          <t xml:space="preserve">music lover </t>
        </is>
      </c>
      <c r="B7293">
        <f>VLOOKUP(2134,Requirements!A2:B2967,2,FALSE)</f>
        <v/>
      </c>
    </row>
    <row r="7294">
      <c r="A7294" t="inlineStr">
        <is>
          <t xml:space="preserve">music lover </t>
        </is>
      </c>
      <c r="B7294">
        <f>VLOOKUP(2253,Requirements!A2:B2967,2,FALSE)</f>
        <v/>
      </c>
    </row>
    <row r="7295">
      <c r="A7295" t="inlineStr">
        <is>
          <t xml:space="preserve">music lover </t>
        </is>
      </c>
      <c r="B7295">
        <f>VLOOKUP(2497,Requirements!A2:B2967,2,FALSE)</f>
        <v/>
      </c>
    </row>
    <row r="7296">
      <c r="A7296" t="inlineStr">
        <is>
          <t xml:space="preserve">music lover </t>
        </is>
      </c>
      <c r="B7296">
        <f>VLOOKUP(2640,Requirements!A2:B2967,2,FALSE)</f>
        <v/>
      </c>
    </row>
    <row r="7297">
      <c r="A7297" t="inlineStr">
        <is>
          <t xml:space="preserve">music lover </t>
        </is>
      </c>
      <c r="B7297">
        <f>VLOOKUP(2667,Requirements!A2:B2967,2,FALSE)</f>
        <v/>
      </c>
    </row>
    <row r="7298">
      <c r="A7298" t="inlineStr">
        <is>
          <t xml:space="preserve">music lover </t>
        </is>
      </c>
      <c r="B7298">
        <f>VLOOKUP(2938,Requirements!A2:B2967,2,FALSE)</f>
        <v/>
      </c>
    </row>
    <row r="7299">
      <c r="A7299" t="inlineStr">
        <is>
          <t xml:space="preserve">music lover </t>
        </is>
      </c>
      <c r="B7299">
        <f>VLOOKUP(3262,Requirements!A2:B2967,2,FALSE)</f>
        <v/>
      </c>
    </row>
    <row r="7300">
      <c r="A7300" t="inlineStr">
        <is>
          <t xml:space="preserve">people </t>
        </is>
      </c>
      <c r="B7300">
        <f>VLOOKUP(92,Requirements!A2:B2967,2,FALSE)</f>
        <v/>
      </c>
    </row>
    <row r="7301">
      <c r="A7301" t="inlineStr">
        <is>
          <t xml:space="preserve">people </t>
        </is>
      </c>
      <c r="B7301">
        <f>VLOOKUP(206,Requirements!A2:B2967,2,FALSE)</f>
        <v/>
      </c>
    </row>
    <row r="7302">
      <c r="A7302" t="inlineStr">
        <is>
          <t xml:space="preserve">people </t>
        </is>
      </c>
      <c r="B7302">
        <f>VLOOKUP(256,Requirements!A2:B2967,2,FALSE)</f>
        <v/>
      </c>
    </row>
    <row r="7303">
      <c r="A7303" t="inlineStr">
        <is>
          <t xml:space="preserve">people </t>
        </is>
      </c>
      <c r="B7303">
        <f>VLOOKUP(271,Requirements!A2:B2967,2,FALSE)</f>
        <v/>
      </c>
    </row>
    <row r="7304">
      <c r="A7304" t="inlineStr">
        <is>
          <t xml:space="preserve">people </t>
        </is>
      </c>
      <c r="B7304">
        <f>VLOOKUP(290,Requirements!A2:B2967,2,FALSE)</f>
        <v/>
      </c>
    </row>
    <row r="7305">
      <c r="A7305" t="inlineStr">
        <is>
          <t xml:space="preserve">people </t>
        </is>
      </c>
      <c r="B7305">
        <f>VLOOKUP(343,Requirements!A2:B2967,2,FALSE)</f>
        <v/>
      </c>
    </row>
    <row r="7306">
      <c r="A7306" t="inlineStr">
        <is>
          <t xml:space="preserve">people </t>
        </is>
      </c>
      <c r="B7306">
        <f>VLOOKUP(360,Requirements!A2:B2967,2,FALSE)</f>
        <v/>
      </c>
    </row>
    <row r="7307">
      <c r="A7307" t="inlineStr">
        <is>
          <t xml:space="preserve">people </t>
        </is>
      </c>
      <c r="B7307">
        <f>VLOOKUP(431,Requirements!A2:B2967,2,FALSE)</f>
        <v/>
      </c>
    </row>
    <row r="7308">
      <c r="A7308" t="inlineStr">
        <is>
          <t xml:space="preserve">people </t>
        </is>
      </c>
      <c r="B7308">
        <f>VLOOKUP(469,Requirements!A2:B2967,2,FALSE)</f>
        <v/>
      </c>
    </row>
    <row r="7309">
      <c r="A7309" t="inlineStr">
        <is>
          <t xml:space="preserve">people </t>
        </is>
      </c>
      <c r="B7309">
        <f>VLOOKUP(505,Requirements!A2:B2967,2,FALSE)</f>
        <v/>
      </c>
    </row>
    <row r="7310">
      <c r="A7310" t="inlineStr">
        <is>
          <t xml:space="preserve">people </t>
        </is>
      </c>
      <c r="B7310">
        <f>VLOOKUP(697,Requirements!A2:B2967,2,FALSE)</f>
        <v/>
      </c>
    </row>
    <row r="7311">
      <c r="A7311" t="inlineStr">
        <is>
          <t xml:space="preserve">people </t>
        </is>
      </c>
      <c r="B7311">
        <f>VLOOKUP(735,Requirements!A2:B2967,2,FALSE)</f>
        <v/>
      </c>
    </row>
    <row r="7312">
      <c r="A7312" t="inlineStr">
        <is>
          <t xml:space="preserve">people </t>
        </is>
      </c>
      <c r="B7312">
        <f>VLOOKUP(758,Requirements!A2:B2967,2,FALSE)</f>
        <v/>
      </c>
    </row>
    <row r="7313">
      <c r="A7313" t="inlineStr">
        <is>
          <t xml:space="preserve">people </t>
        </is>
      </c>
      <c r="B7313">
        <f>VLOOKUP(793,Requirements!A2:B2967,2,FALSE)</f>
        <v/>
      </c>
    </row>
    <row r="7314">
      <c r="A7314" t="inlineStr">
        <is>
          <t xml:space="preserve">people </t>
        </is>
      </c>
      <c r="B7314">
        <f>VLOOKUP(888,Requirements!A2:B2967,2,FALSE)</f>
        <v/>
      </c>
    </row>
    <row r="7315">
      <c r="A7315" t="inlineStr">
        <is>
          <t xml:space="preserve">people </t>
        </is>
      </c>
      <c r="B7315">
        <f>VLOOKUP(956,Requirements!A2:B2967,2,FALSE)</f>
        <v/>
      </c>
    </row>
    <row r="7316">
      <c r="A7316" t="inlineStr">
        <is>
          <t xml:space="preserve">people </t>
        </is>
      </c>
      <c r="B7316">
        <f>VLOOKUP(1019,Requirements!A2:B2967,2,FALSE)</f>
        <v/>
      </c>
    </row>
    <row r="7317">
      <c r="A7317" t="inlineStr">
        <is>
          <t xml:space="preserve">people </t>
        </is>
      </c>
      <c r="B7317">
        <f>VLOOKUP(1139,Requirements!A2:B2967,2,FALSE)</f>
        <v/>
      </c>
    </row>
    <row r="7318">
      <c r="A7318" t="inlineStr">
        <is>
          <t xml:space="preserve">people </t>
        </is>
      </c>
      <c r="B7318">
        <f>VLOOKUP(1147,Requirements!A2:B2967,2,FALSE)</f>
        <v/>
      </c>
    </row>
    <row r="7319">
      <c r="A7319" t="inlineStr">
        <is>
          <t xml:space="preserve">people </t>
        </is>
      </c>
      <c r="B7319">
        <f>VLOOKUP(1160,Requirements!A2:B2967,2,FALSE)</f>
        <v/>
      </c>
    </row>
    <row r="7320">
      <c r="A7320" t="inlineStr">
        <is>
          <t xml:space="preserve">people </t>
        </is>
      </c>
      <c r="B7320">
        <f>VLOOKUP(1198,Requirements!A2:B2967,2,FALSE)</f>
        <v/>
      </c>
    </row>
    <row r="7321">
      <c r="A7321" t="inlineStr">
        <is>
          <t xml:space="preserve">people </t>
        </is>
      </c>
      <c r="B7321">
        <f>VLOOKUP(1250,Requirements!A2:B2967,2,FALSE)</f>
        <v/>
      </c>
    </row>
    <row r="7322">
      <c r="A7322" t="inlineStr">
        <is>
          <t xml:space="preserve">people </t>
        </is>
      </c>
      <c r="B7322">
        <f>VLOOKUP(1393,Requirements!A2:B2967,2,FALSE)</f>
        <v/>
      </c>
    </row>
    <row r="7323">
      <c r="A7323" t="inlineStr">
        <is>
          <t xml:space="preserve">people </t>
        </is>
      </c>
      <c r="B7323">
        <f>VLOOKUP(1411,Requirements!A2:B2967,2,FALSE)</f>
        <v/>
      </c>
    </row>
    <row r="7324">
      <c r="A7324" t="inlineStr">
        <is>
          <t xml:space="preserve">people </t>
        </is>
      </c>
      <c r="B7324">
        <f>VLOOKUP(1422,Requirements!A2:B2967,2,FALSE)</f>
        <v/>
      </c>
    </row>
    <row r="7325">
      <c r="A7325" t="inlineStr">
        <is>
          <t xml:space="preserve">people </t>
        </is>
      </c>
      <c r="B7325">
        <f>VLOOKUP(1546,Requirements!A2:B2967,2,FALSE)</f>
        <v/>
      </c>
    </row>
    <row r="7326">
      <c r="A7326" t="inlineStr">
        <is>
          <t xml:space="preserve">people </t>
        </is>
      </c>
      <c r="B7326">
        <f>VLOOKUP(1973,Requirements!A2:B2967,2,FALSE)</f>
        <v/>
      </c>
    </row>
    <row r="7327">
      <c r="A7327" t="inlineStr">
        <is>
          <t xml:space="preserve">people </t>
        </is>
      </c>
      <c r="B7327">
        <f>VLOOKUP(2156,Requirements!A2:B2967,2,FALSE)</f>
        <v/>
      </c>
    </row>
    <row r="7328">
      <c r="A7328" t="inlineStr">
        <is>
          <t xml:space="preserve">people </t>
        </is>
      </c>
      <c r="B7328">
        <f>VLOOKUP(2176,Requirements!A2:B2967,2,FALSE)</f>
        <v/>
      </c>
    </row>
    <row r="7329">
      <c r="A7329" t="inlineStr">
        <is>
          <t xml:space="preserve">people </t>
        </is>
      </c>
      <c r="B7329">
        <f>VLOOKUP(2288,Requirements!A2:B2967,2,FALSE)</f>
        <v/>
      </c>
    </row>
    <row r="7330">
      <c r="A7330" t="inlineStr">
        <is>
          <t xml:space="preserve">people </t>
        </is>
      </c>
      <c r="B7330">
        <f>VLOOKUP(2305,Requirements!A2:B2967,2,FALSE)</f>
        <v/>
      </c>
    </row>
    <row r="7331">
      <c r="A7331" t="inlineStr">
        <is>
          <t xml:space="preserve">people </t>
        </is>
      </c>
      <c r="B7331">
        <f>VLOOKUP(2351,Requirements!A2:B2967,2,FALSE)</f>
        <v/>
      </c>
    </row>
    <row r="7332">
      <c r="A7332" t="inlineStr">
        <is>
          <t xml:space="preserve">people </t>
        </is>
      </c>
      <c r="B7332">
        <f>VLOOKUP(2355,Requirements!A2:B2967,2,FALSE)</f>
        <v/>
      </c>
    </row>
    <row r="7333">
      <c r="A7333" t="inlineStr">
        <is>
          <t xml:space="preserve">people </t>
        </is>
      </c>
      <c r="B7333">
        <f>VLOOKUP(2356,Requirements!A2:B2967,2,FALSE)</f>
        <v/>
      </c>
    </row>
    <row r="7334">
      <c r="A7334" t="inlineStr">
        <is>
          <t xml:space="preserve">people </t>
        </is>
      </c>
      <c r="B7334">
        <f>VLOOKUP(2391,Requirements!A2:B2967,2,FALSE)</f>
        <v/>
      </c>
    </row>
    <row r="7335">
      <c r="A7335" t="inlineStr">
        <is>
          <t xml:space="preserve">people </t>
        </is>
      </c>
      <c r="B7335">
        <f>VLOOKUP(2437,Requirements!A2:B2967,2,FALSE)</f>
        <v/>
      </c>
    </row>
    <row r="7336">
      <c r="A7336" t="inlineStr">
        <is>
          <t xml:space="preserve">people </t>
        </is>
      </c>
      <c r="B7336">
        <f>VLOOKUP(2529,Requirements!A2:B2967,2,FALSE)</f>
        <v/>
      </c>
    </row>
    <row r="7337">
      <c r="A7337" t="inlineStr">
        <is>
          <t xml:space="preserve">people </t>
        </is>
      </c>
      <c r="B7337">
        <f>VLOOKUP(2618,Requirements!A2:B2967,2,FALSE)</f>
        <v/>
      </c>
    </row>
    <row r="7338">
      <c r="A7338" t="inlineStr">
        <is>
          <t xml:space="preserve">people </t>
        </is>
      </c>
      <c r="B7338">
        <f>VLOOKUP(2809,Requirements!A2:B2967,2,FALSE)</f>
        <v/>
      </c>
    </row>
    <row r="7339">
      <c r="A7339" t="inlineStr">
        <is>
          <t xml:space="preserve">people </t>
        </is>
      </c>
      <c r="B7339">
        <f>VLOOKUP(2937,Requirements!A2:B2967,2,FALSE)</f>
        <v/>
      </c>
    </row>
    <row r="7340">
      <c r="A7340" t="inlineStr">
        <is>
          <t xml:space="preserve">use </t>
        </is>
      </c>
      <c r="B7340">
        <f>VLOOKUP(92,Requirements!A2:B2967,2,FALSE)</f>
        <v/>
      </c>
    </row>
    <row r="7341">
      <c r="A7341" t="inlineStr">
        <is>
          <t xml:space="preserve">use </t>
        </is>
      </c>
      <c r="B7341">
        <f>VLOOKUP(244,Requirements!A2:B2967,2,FALSE)</f>
        <v/>
      </c>
    </row>
    <row r="7342">
      <c r="A7342" t="inlineStr">
        <is>
          <t xml:space="preserve">use </t>
        </is>
      </c>
      <c r="B7342">
        <f>VLOOKUP(439,Requirements!A2:B2967,2,FALSE)</f>
        <v/>
      </c>
    </row>
    <row r="7343">
      <c r="A7343" t="inlineStr">
        <is>
          <t xml:space="preserve">use </t>
        </is>
      </c>
      <c r="B7343">
        <f>VLOOKUP(538,Requirements!A2:B2967,2,FALSE)</f>
        <v/>
      </c>
    </row>
    <row r="7344">
      <c r="A7344" t="inlineStr">
        <is>
          <t xml:space="preserve">use </t>
        </is>
      </c>
      <c r="B7344">
        <f>VLOOKUP(581,Requirements!A2:B2967,2,FALSE)</f>
        <v/>
      </c>
    </row>
    <row r="7345">
      <c r="A7345" t="inlineStr">
        <is>
          <t xml:space="preserve">use </t>
        </is>
      </c>
      <c r="B7345">
        <f>VLOOKUP(654,Requirements!A2:B2967,2,FALSE)</f>
        <v/>
      </c>
    </row>
    <row r="7346">
      <c r="A7346" t="inlineStr">
        <is>
          <t xml:space="preserve">use </t>
        </is>
      </c>
      <c r="B7346">
        <f>VLOOKUP(706,Requirements!A2:B2967,2,FALSE)</f>
        <v/>
      </c>
    </row>
    <row r="7347">
      <c r="A7347" t="inlineStr">
        <is>
          <t xml:space="preserve">use </t>
        </is>
      </c>
      <c r="B7347">
        <f>VLOOKUP(749,Requirements!A2:B2967,2,FALSE)</f>
        <v/>
      </c>
    </row>
    <row r="7348">
      <c r="A7348" t="inlineStr">
        <is>
          <t xml:space="preserve">use </t>
        </is>
      </c>
      <c r="B7348">
        <f>VLOOKUP(786,Requirements!A2:B2967,2,FALSE)</f>
        <v/>
      </c>
    </row>
    <row r="7349">
      <c r="A7349" t="inlineStr">
        <is>
          <t xml:space="preserve">use </t>
        </is>
      </c>
      <c r="B7349">
        <f>VLOOKUP(837,Requirements!A2:B2967,2,FALSE)</f>
        <v/>
      </c>
    </row>
    <row r="7350">
      <c r="A7350" t="inlineStr">
        <is>
          <t xml:space="preserve">use </t>
        </is>
      </c>
      <c r="B7350">
        <f>VLOOKUP(1199,Requirements!A2:B2967,2,FALSE)</f>
        <v/>
      </c>
    </row>
    <row r="7351">
      <c r="A7351" t="inlineStr">
        <is>
          <t xml:space="preserve">use </t>
        </is>
      </c>
      <c r="B7351">
        <f>VLOOKUP(1237,Requirements!A2:B2967,2,FALSE)</f>
        <v/>
      </c>
    </row>
    <row r="7352">
      <c r="A7352" t="inlineStr">
        <is>
          <t xml:space="preserve">use </t>
        </is>
      </c>
      <c r="B7352">
        <f>VLOOKUP(1277,Requirements!A2:B2967,2,FALSE)</f>
        <v/>
      </c>
    </row>
    <row r="7353">
      <c r="A7353" t="inlineStr">
        <is>
          <t xml:space="preserve">use </t>
        </is>
      </c>
      <c r="B7353">
        <f>VLOOKUP(1496,Requirements!A2:B2967,2,FALSE)</f>
        <v/>
      </c>
    </row>
    <row r="7354">
      <c r="A7354" t="inlineStr">
        <is>
          <t xml:space="preserve">use </t>
        </is>
      </c>
      <c r="B7354">
        <f>VLOOKUP(1504,Requirements!A2:B2967,2,FALSE)</f>
        <v/>
      </c>
    </row>
    <row r="7355">
      <c r="A7355" t="inlineStr">
        <is>
          <t xml:space="preserve">use </t>
        </is>
      </c>
      <c r="B7355">
        <f>VLOOKUP(2038,Requirements!A2:B2967,2,FALSE)</f>
        <v/>
      </c>
    </row>
    <row r="7356">
      <c r="A7356" t="inlineStr">
        <is>
          <t xml:space="preserve">use </t>
        </is>
      </c>
      <c r="B7356">
        <f>VLOOKUP(2219,Requirements!A2:B2967,2,FALSE)</f>
        <v/>
      </c>
    </row>
    <row r="7357">
      <c r="A7357" t="inlineStr">
        <is>
          <t xml:space="preserve">use </t>
        </is>
      </c>
      <c r="B7357">
        <f>VLOOKUP(2328,Requirements!A2:B2967,2,FALSE)</f>
        <v/>
      </c>
    </row>
    <row r="7358">
      <c r="A7358" t="inlineStr">
        <is>
          <t xml:space="preserve">use </t>
        </is>
      </c>
      <c r="B7358">
        <f>VLOOKUP(2416,Requirements!A2:B2967,2,FALSE)</f>
        <v/>
      </c>
    </row>
    <row r="7359">
      <c r="A7359" t="inlineStr">
        <is>
          <t xml:space="preserve">use </t>
        </is>
      </c>
      <c r="B7359">
        <f>VLOOKUP(2438,Requirements!A2:B2967,2,FALSE)</f>
        <v/>
      </c>
    </row>
    <row r="7360">
      <c r="A7360" t="inlineStr">
        <is>
          <t xml:space="preserve">use </t>
        </is>
      </c>
      <c r="B7360">
        <f>VLOOKUP(2534,Requirements!A2:B2967,2,FALSE)</f>
        <v/>
      </c>
    </row>
    <row r="7361">
      <c r="A7361" t="inlineStr">
        <is>
          <t xml:space="preserve">use </t>
        </is>
      </c>
      <c r="B7361">
        <f>VLOOKUP(2637,Requirements!A2:B2967,2,FALSE)</f>
        <v/>
      </c>
    </row>
    <row r="7362">
      <c r="A7362" t="inlineStr">
        <is>
          <t xml:space="preserve">use </t>
        </is>
      </c>
      <c r="B7362">
        <f>VLOOKUP(2654,Requirements!A2:B2967,2,FALSE)</f>
        <v/>
      </c>
    </row>
    <row r="7363">
      <c r="A7363" t="inlineStr">
        <is>
          <t xml:space="preserve">use </t>
        </is>
      </c>
      <c r="B7363">
        <f>VLOOKUP(2851,Requirements!A2:B2967,2,FALSE)</f>
        <v/>
      </c>
    </row>
    <row r="7364">
      <c r="A7364" t="inlineStr">
        <is>
          <t xml:space="preserve">use </t>
        </is>
      </c>
      <c r="B7364">
        <f>VLOOKUP(2963,Requirements!A2:B2967,2,FALSE)</f>
        <v/>
      </c>
    </row>
    <row r="7365">
      <c r="A7365" t="inlineStr">
        <is>
          <t xml:space="preserve">use </t>
        </is>
      </c>
      <c r="B7365">
        <f>VLOOKUP(3039,Requirements!A2:B2967,2,FALSE)</f>
        <v/>
      </c>
    </row>
    <row r="7366">
      <c r="A7366" t="inlineStr">
        <is>
          <t xml:space="preserve">coffee machine </t>
        </is>
      </c>
      <c r="B7366">
        <f>VLOOKUP(93,Requirements!A2:B2967,2,FALSE)</f>
        <v/>
      </c>
    </row>
    <row r="7367">
      <c r="A7367" t="inlineStr">
        <is>
          <t xml:space="preserve">coffee machine </t>
        </is>
      </c>
      <c r="B7367">
        <f>VLOOKUP(253,Requirements!A2:B2967,2,FALSE)</f>
        <v/>
      </c>
    </row>
    <row r="7368">
      <c r="A7368" t="inlineStr">
        <is>
          <t xml:space="preserve">coffee machine </t>
        </is>
      </c>
      <c r="B7368">
        <f>VLOOKUP(793,Requirements!A2:B2967,2,FALSE)</f>
        <v/>
      </c>
    </row>
    <row r="7369">
      <c r="A7369" t="inlineStr">
        <is>
          <t xml:space="preserve">coffee machine </t>
        </is>
      </c>
      <c r="B7369">
        <f>VLOOKUP(839,Requirements!A2:B2967,2,FALSE)</f>
        <v/>
      </c>
    </row>
    <row r="7370">
      <c r="A7370" t="inlineStr">
        <is>
          <t xml:space="preserve">coffee machine </t>
        </is>
      </c>
      <c r="B7370">
        <f>VLOOKUP(841,Requirements!A2:B2967,2,FALSE)</f>
        <v/>
      </c>
    </row>
    <row r="7371">
      <c r="A7371" t="inlineStr">
        <is>
          <t xml:space="preserve">coffee machine </t>
        </is>
      </c>
      <c r="B7371">
        <f>VLOOKUP(1825,Requirements!A2:B2967,2,FALSE)</f>
        <v/>
      </c>
    </row>
    <row r="7372">
      <c r="A7372" t="inlineStr">
        <is>
          <t xml:space="preserve">coffee </t>
        </is>
      </c>
      <c r="B7372">
        <f>VLOOKUP(93,Requirements!A2:B2967,2,FALSE)</f>
        <v/>
      </c>
    </row>
    <row r="7373">
      <c r="A7373" t="inlineStr">
        <is>
          <t xml:space="preserve">coffee </t>
        </is>
      </c>
      <c r="B7373">
        <f>VLOOKUP(225,Requirements!A2:B2967,2,FALSE)</f>
        <v/>
      </c>
    </row>
    <row r="7374">
      <c r="A7374" t="inlineStr">
        <is>
          <t xml:space="preserve">coffee </t>
        </is>
      </c>
      <c r="B7374">
        <f>VLOOKUP(280,Requirements!A2:B2967,2,FALSE)</f>
        <v/>
      </c>
    </row>
    <row r="7375">
      <c r="A7375" t="inlineStr">
        <is>
          <t xml:space="preserve">coffee </t>
        </is>
      </c>
      <c r="B7375">
        <f>VLOOKUP(563,Requirements!A2:B2967,2,FALSE)</f>
        <v/>
      </c>
    </row>
    <row r="7376">
      <c r="A7376" t="inlineStr">
        <is>
          <t xml:space="preserve">coffee </t>
        </is>
      </c>
      <c r="B7376">
        <f>VLOOKUP(793,Requirements!A2:B2967,2,FALSE)</f>
        <v/>
      </c>
    </row>
    <row r="7377">
      <c r="A7377" t="inlineStr">
        <is>
          <t xml:space="preserve">coffee </t>
        </is>
      </c>
      <c r="B7377">
        <f>VLOOKUP(812,Requirements!A2:B2967,2,FALSE)</f>
        <v/>
      </c>
    </row>
    <row r="7378">
      <c r="A7378" t="inlineStr">
        <is>
          <t xml:space="preserve">coffee </t>
        </is>
      </c>
      <c r="B7378">
        <f>VLOOKUP(839,Requirements!A2:B2967,2,FALSE)</f>
        <v/>
      </c>
    </row>
    <row r="7379">
      <c r="A7379" t="inlineStr">
        <is>
          <t xml:space="preserve">coffee </t>
        </is>
      </c>
      <c r="B7379">
        <f>VLOOKUP(841,Requirements!A2:B2967,2,FALSE)</f>
        <v/>
      </c>
    </row>
    <row r="7380">
      <c r="A7380" t="inlineStr">
        <is>
          <t xml:space="preserve">coffee </t>
        </is>
      </c>
      <c r="B7380">
        <f>VLOOKUP(1186,Requirements!A2:B2967,2,FALSE)</f>
        <v/>
      </c>
    </row>
    <row r="7381">
      <c r="A7381" t="inlineStr">
        <is>
          <t xml:space="preserve">coffee </t>
        </is>
      </c>
      <c r="B7381">
        <f>VLOOKUP(1194,Requirements!A2:B2967,2,FALSE)</f>
        <v/>
      </c>
    </row>
    <row r="7382">
      <c r="A7382" t="inlineStr">
        <is>
          <t xml:space="preserve">coffee </t>
        </is>
      </c>
      <c r="B7382">
        <f>VLOOKUP(1244,Requirements!A2:B2967,2,FALSE)</f>
        <v/>
      </c>
    </row>
    <row r="7383">
      <c r="A7383" t="inlineStr">
        <is>
          <t xml:space="preserve">coffee </t>
        </is>
      </c>
      <c r="B7383">
        <f>VLOOKUP(1251,Requirements!A2:B2967,2,FALSE)</f>
        <v/>
      </c>
    </row>
    <row r="7384">
      <c r="A7384" t="inlineStr">
        <is>
          <t xml:space="preserve">coffee </t>
        </is>
      </c>
      <c r="B7384">
        <f>VLOOKUP(1333,Requirements!A2:B2967,2,FALSE)</f>
        <v/>
      </c>
    </row>
    <row r="7385">
      <c r="A7385" t="inlineStr">
        <is>
          <t xml:space="preserve">coffee </t>
        </is>
      </c>
      <c r="B7385">
        <f>VLOOKUP(1635,Requirements!A2:B2967,2,FALSE)</f>
        <v/>
      </c>
    </row>
    <row r="7386">
      <c r="A7386" t="inlineStr">
        <is>
          <t xml:space="preserve">coffee </t>
        </is>
      </c>
      <c r="B7386">
        <f>VLOOKUP(1808,Requirements!A2:B2967,2,FALSE)</f>
        <v/>
      </c>
    </row>
    <row r="7387">
      <c r="A7387" t="inlineStr">
        <is>
          <t xml:space="preserve">coffee </t>
        </is>
      </c>
      <c r="B7387">
        <f>VLOOKUP(1930,Requirements!A2:B2967,2,FALSE)</f>
        <v/>
      </c>
    </row>
    <row r="7388">
      <c r="A7388" t="inlineStr">
        <is>
          <t xml:space="preserve">coffee </t>
        </is>
      </c>
      <c r="B7388">
        <f>VLOOKUP(2214,Requirements!A2:B2967,2,FALSE)</f>
        <v/>
      </c>
    </row>
    <row r="7389">
      <c r="A7389" t="inlineStr">
        <is>
          <t xml:space="preserve">coffee </t>
        </is>
      </c>
      <c r="B7389">
        <f>VLOOKUP(2329,Requirements!A2:B2967,2,FALSE)</f>
        <v/>
      </c>
    </row>
    <row r="7390">
      <c r="A7390" t="inlineStr">
        <is>
          <t xml:space="preserve">coffee </t>
        </is>
      </c>
      <c r="B7390">
        <f>VLOOKUP(2418,Requirements!A2:B2967,2,FALSE)</f>
        <v/>
      </c>
    </row>
    <row r="7391">
      <c r="A7391" t="inlineStr">
        <is>
          <t xml:space="preserve">coffee </t>
        </is>
      </c>
      <c r="B7391">
        <f>VLOOKUP(2505,Requirements!A2:B2967,2,FALSE)</f>
        <v/>
      </c>
    </row>
    <row r="7392">
      <c r="A7392" t="inlineStr">
        <is>
          <t xml:space="preserve">coffee </t>
        </is>
      </c>
      <c r="B7392">
        <f>VLOOKUP(2826,Requirements!A2:B2967,2,FALSE)</f>
        <v/>
      </c>
    </row>
    <row r="7393">
      <c r="A7393" t="inlineStr">
        <is>
          <t xml:space="preserve">coffee </t>
        </is>
      </c>
      <c r="B7393">
        <f>VLOOKUP(2860,Requirements!A2:B2967,2,FALSE)</f>
        <v/>
      </c>
    </row>
    <row r="7394">
      <c r="A7394" t="inlineStr">
        <is>
          <t xml:space="preserve">coffee </t>
        </is>
      </c>
      <c r="B7394">
        <f>VLOOKUP(2869,Requirements!A2:B2967,2,FALSE)</f>
        <v/>
      </c>
    </row>
    <row r="7395">
      <c r="A7395" t="inlineStr">
        <is>
          <t xml:space="preserve">coffee </t>
        </is>
      </c>
      <c r="B7395">
        <f>VLOOKUP(2881,Requirements!A2:B2967,2,FALSE)</f>
        <v/>
      </c>
    </row>
    <row r="7396">
      <c r="A7396" t="inlineStr">
        <is>
          <t xml:space="preserve">coffee </t>
        </is>
      </c>
      <c r="B7396">
        <f>VLOOKUP(3119,Requirements!A2:B2967,2,FALSE)</f>
        <v/>
      </c>
    </row>
    <row r="7397">
      <c r="A7397" t="inlineStr">
        <is>
          <t xml:space="preserve">coffee </t>
        </is>
      </c>
      <c r="B7397">
        <f>VLOOKUP(3127,Requirements!A2:B2967,2,FALSE)</f>
        <v/>
      </c>
    </row>
    <row r="7398">
      <c r="A7398" t="inlineStr">
        <is>
          <t xml:space="preserve">coffee </t>
        </is>
      </c>
      <c r="B7398">
        <f>VLOOKUP(3131,Requirements!A2:B2967,2,FALSE)</f>
        <v/>
      </c>
    </row>
    <row r="7399">
      <c r="A7399" t="inlineStr">
        <is>
          <t xml:space="preserve">water </t>
        </is>
      </c>
      <c r="B7399">
        <f>VLOOKUP(94,Requirements!A2:B2967,2,FALSE)</f>
        <v/>
      </c>
    </row>
    <row r="7400">
      <c r="A7400" t="inlineStr">
        <is>
          <t xml:space="preserve">water </t>
        </is>
      </c>
      <c r="B7400">
        <f>VLOOKUP(207,Requirements!A2:B2967,2,FALSE)</f>
        <v/>
      </c>
    </row>
    <row r="7401">
      <c r="A7401" t="inlineStr">
        <is>
          <t xml:space="preserve">water </t>
        </is>
      </c>
      <c r="B7401">
        <f>VLOOKUP(233,Requirements!A2:B2967,2,FALSE)</f>
        <v/>
      </c>
    </row>
    <row r="7402">
      <c r="A7402" t="inlineStr">
        <is>
          <t xml:space="preserve">water </t>
        </is>
      </c>
      <c r="B7402">
        <f>VLOOKUP(239,Requirements!A2:B2967,2,FALSE)</f>
        <v/>
      </c>
    </row>
    <row r="7403">
      <c r="A7403" t="inlineStr">
        <is>
          <t xml:space="preserve">water </t>
        </is>
      </c>
      <c r="B7403">
        <f>VLOOKUP(240,Requirements!A2:B2967,2,FALSE)</f>
        <v/>
      </c>
    </row>
    <row r="7404">
      <c r="A7404" t="inlineStr">
        <is>
          <t xml:space="preserve">water </t>
        </is>
      </c>
      <c r="B7404">
        <f>VLOOKUP(250,Requirements!A2:B2967,2,FALSE)</f>
        <v/>
      </c>
    </row>
    <row r="7405">
      <c r="A7405" t="inlineStr">
        <is>
          <t xml:space="preserve">water </t>
        </is>
      </c>
      <c r="B7405">
        <f>VLOOKUP(277,Requirements!A2:B2967,2,FALSE)</f>
        <v/>
      </c>
    </row>
    <row r="7406">
      <c r="A7406" t="inlineStr">
        <is>
          <t xml:space="preserve">water </t>
        </is>
      </c>
      <c r="B7406">
        <f>VLOOKUP(341,Requirements!A2:B2967,2,FALSE)</f>
        <v/>
      </c>
    </row>
    <row r="7407">
      <c r="A7407" t="inlineStr">
        <is>
          <t xml:space="preserve">water </t>
        </is>
      </c>
      <c r="B7407">
        <f>VLOOKUP(367,Requirements!A2:B2967,2,FALSE)</f>
        <v/>
      </c>
    </row>
    <row r="7408">
      <c r="A7408" t="inlineStr">
        <is>
          <t xml:space="preserve">water </t>
        </is>
      </c>
      <c r="B7408">
        <f>VLOOKUP(399,Requirements!A2:B2967,2,FALSE)</f>
        <v/>
      </c>
    </row>
    <row r="7409">
      <c r="A7409" t="inlineStr">
        <is>
          <t xml:space="preserve">water </t>
        </is>
      </c>
      <c r="B7409">
        <f>VLOOKUP(443,Requirements!A2:B2967,2,FALSE)</f>
        <v/>
      </c>
    </row>
    <row r="7410">
      <c r="A7410" t="inlineStr">
        <is>
          <t xml:space="preserve">water </t>
        </is>
      </c>
      <c r="B7410">
        <f>VLOOKUP(447,Requirements!A2:B2967,2,FALSE)</f>
        <v/>
      </c>
    </row>
    <row r="7411">
      <c r="A7411" t="inlineStr">
        <is>
          <t xml:space="preserve">water </t>
        </is>
      </c>
      <c r="B7411">
        <f>VLOOKUP(451,Requirements!A2:B2967,2,FALSE)</f>
        <v/>
      </c>
    </row>
    <row r="7412">
      <c r="A7412" t="inlineStr">
        <is>
          <t xml:space="preserve">water </t>
        </is>
      </c>
      <c r="B7412">
        <f>VLOOKUP(453,Requirements!A2:B2967,2,FALSE)</f>
        <v/>
      </c>
    </row>
    <row r="7413">
      <c r="A7413" t="inlineStr">
        <is>
          <t xml:space="preserve">water </t>
        </is>
      </c>
      <c r="B7413">
        <f>VLOOKUP(472,Requirements!A2:B2967,2,FALSE)</f>
        <v/>
      </c>
    </row>
    <row r="7414">
      <c r="A7414" t="inlineStr">
        <is>
          <t xml:space="preserve">water </t>
        </is>
      </c>
      <c r="B7414">
        <f>VLOOKUP(479,Requirements!A2:B2967,2,FALSE)</f>
        <v/>
      </c>
    </row>
    <row r="7415">
      <c r="A7415" t="inlineStr">
        <is>
          <t xml:space="preserve">water </t>
        </is>
      </c>
      <c r="B7415">
        <f>VLOOKUP(528,Requirements!A2:B2967,2,FALSE)</f>
        <v/>
      </c>
    </row>
    <row r="7416">
      <c r="A7416" t="inlineStr">
        <is>
          <t xml:space="preserve">water </t>
        </is>
      </c>
      <c r="B7416">
        <f>VLOOKUP(545,Requirements!A2:B2967,2,FALSE)</f>
        <v/>
      </c>
    </row>
    <row r="7417">
      <c r="A7417" t="inlineStr">
        <is>
          <t xml:space="preserve">water </t>
        </is>
      </c>
      <c r="B7417">
        <f>VLOOKUP(564,Requirements!A2:B2967,2,FALSE)</f>
        <v/>
      </c>
    </row>
    <row r="7418">
      <c r="A7418" t="inlineStr">
        <is>
          <t xml:space="preserve">water </t>
        </is>
      </c>
      <c r="B7418">
        <f>VLOOKUP(584,Requirements!A2:B2967,2,FALSE)</f>
        <v/>
      </c>
    </row>
    <row r="7419">
      <c r="A7419" t="inlineStr">
        <is>
          <t xml:space="preserve">water </t>
        </is>
      </c>
      <c r="B7419">
        <f>VLOOKUP(639,Requirements!A2:B2967,2,FALSE)</f>
        <v/>
      </c>
    </row>
    <row r="7420">
      <c r="A7420" t="inlineStr">
        <is>
          <t xml:space="preserve">water </t>
        </is>
      </c>
      <c r="B7420">
        <f>VLOOKUP(664,Requirements!A2:B2967,2,FALSE)</f>
        <v/>
      </c>
    </row>
    <row r="7421">
      <c r="A7421" t="inlineStr">
        <is>
          <t xml:space="preserve">water </t>
        </is>
      </c>
      <c r="B7421">
        <f>VLOOKUP(691,Requirements!A2:B2967,2,FALSE)</f>
        <v/>
      </c>
    </row>
    <row r="7422">
      <c r="A7422" t="inlineStr">
        <is>
          <t xml:space="preserve">water </t>
        </is>
      </c>
      <c r="B7422">
        <f>VLOOKUP(694,Requirements!A2:B2967,2,FALSE)</f>
        <v/>
      </c>
    </row>
    <row r="7423">
      <c r="A7423" t="inlineStr">
        <is>
          <t xml:space="preserve">water </t>
        </is>
      </c>
      <c r="B7423">
        <f>VLOOKUP(701,Requirements!A2:B2967,2,FALSE)</f>
        <v/>
      </c>
    </row>
    <row r="7424">
      <c r="A7424" t="inlineStr">
        <is>
          <t xml:space="preserve">water </t>
        </is>
      </c>
      <c r="B7424">
        <f>VLOOKUP(715,Requirements!A2:B2967,2,FALSE)</f>
        <v/>
      </c>
    </row>
    <row r="7425">
      <c r="A7425" t="inlineStr">
        <is>
          <t xml:space="preserve">water </t>
        </is>
      </c>
      <c r="B7425">
        <f>VLOOKUP(729,Requirements!A2:B2967,2,FALSE)</f>
        <v/>
      </c>
    </row>
    <row r="7426">
      <c r="A7426" t="inlineStr">
        <is>
          <t xml:space="preserve">water </t>
        </is>
      </c>
      <c r="B7426">
        <f>VLOOKUP(767,Requirements!A2:B2967,2,FALSE)</f>
        <v/>
      </c>
    </row>
    <row r="7427">
      <c r="A7427" t="inlineStr">
        <is>
          <t xml:space="preserve">water </t>
        </is>
      </c>
      <c r="B7427">
        <f>VLOOKUP(789,Requirements!A2:B2967,2,FALSE)</f>
        <v/>
      </c>
    </row>
    <row r="7428">
      <c r="A7428" t="inlineStr">
        <is>
          <t xml:space="preserve">water </t>
        </is>
      </c>
      <c r="B7428">
        <f>VLOOKUP(806,Requirements!A2:B2967,2,FALSE)</f>
        <v/>
      </c>
    </row>
    <row r="7429">
      <c r="A7429" t="inlineStr">
        <is>
          <t xml:space="preserve">water </t>
        </is>
      </c>
      <c r="B7429">
        <f>VLOOKUP(830,Requirements!A2:B2967,2,FALSE)</f>
        <v/>
      </c>
    </row>
    <row r="7430">
      <c r="A7430" t="inlineStr">
        <is>
          <t xml:space="preserve">water </t>
        </is>
      </c>
      <c r="B7430">
        <f>VLOOKUP(837,Requirements!A2:B2967,2,FALSE)</f>
        <v/>
      </c>
    </row>
    <row r="7431">
      <c r="A7431" t="inlineStr">
        <is>
          <t xml:space="preserve">water </t>
        </is>
      </c>
      <c r="B7431">
        <f>VLOOKUP(853,Requirements!A2:B2967,2,FALSE)</f>
        <v/>
      </c>
    </row>
    <row r="7432">
      <c r="A7432" t="inlineStr">
        <is>
          <t xml:space="preserve">water </t>
        </is>
      </c>
      <c r="B7432">
        <f>VLOOKUP(864,Requirements!A2:B2967,2,FALSE)</f>
        <v/>
      </c>
    </row>
    <row r="7433">
      <c r="A7433" t="inlineStr">
        <is>
          <t xml:space="preserve">water </t>
        </is>
      </c>
      <c r="B7433">
        <f>VLOOKUP(899,Requirements!A2:B2967,2,FALSE)</f>
        <v/>
      </c>
    </row>
    <row r="7434">
      <c r="A7434" t="inlineStr">
        <is>
          <t xml:space="preserve">water </t>
        </is>
      </c>
      <c r="B7434">
        <f>VLOOKUP(905,Requirements!A2:B2967,2,FALSE)</f>
        <v/>
      </c>
    </row>
    <row r="7435">
      <c r="A7435" t="inlineStr">
        <is>
          <t xml:space="preserve">water </t>
        </is>
      </c>
      <c r="B7435">
        <f>VLOOKUP(925,Requirements!A2:B2967,2,FALSE)</f>
        <v/>
      </c>
    </row>
    <row r="7436">
      <c r="A7436" t="inlineStr">
        <is>
          <t xml:space="preserve">water </t>
        </is>
      </c>
      <c r="B7436">
        <f>VLOOKUP(948,Requirements!A2:B2967,2,FALSE)</f>
        <v/>
      </c>
    </row>
    <row r="7437">
      <c r="A7437" t="inlineStr">
        <is>
          <t xml:space="preserve">water </t>
        </is>
      </c>
      <c r="B7437">
        <f>VLOOKUP(958,Requirements!A2:B2967,2,FALSE)</f>
        <v/>
      </c>
    </row>
    <row r="7438">
      <c r="A7438" t="inlineStr">
        <is>
          <t xml:space="preserve">water </t>
        </is>
      </c>
      <c r="B7438">
        <f>VLOOKUP(961,Requirements!A2:B2967,2,FALSE)</f>
        <v/>
      </c>
    </row>
    <row r="7439">
      <c r="A7439" t="inlineStr">
        <is>
          <t xml:space="preserve">water </t>
        </is>
      </c>
      <c r="B7439">
        <f>VLOOKUP(974,Requirements!A2:B2967,2,FALSE)</f>
        <v/>
      </c>
    </row>
    <row r="7440">
      <c r="A7440" t="inlineStr">
        <is>
          <t xml:space="preserve">water </t>
        </is>
      </c>
      <c r="B7440">
        <f>VLOOKUP(1014,Requirements!A2:B2967,2,FALSE)</f>
        <v/>
      </c>
    </row>
    <row r="7441">
      <c r="A7441" t="inlineStr">
        <is>
          <t xml:space="preserve">water </t>
        </is>
      </c>
      <c r="B7441">
        <f>VLOOKUP(1035,Requirements!A2:B2967,2,FALSE)</f>
        <v/>
      </c>
    </row>
    <row r="7442">
      <c r="A7442" t="inlineStr">
        <is>
          <t xml:space="preserve">water </t>
        </is>
      </c>
      <c r="B7442">
        <f>VLOOKUP(1079,Requirements!A2:B2967,2,FALSE)</f>
        <v/>
      </c>
    </row>
    <row r="7443">
      <c r="A7443" t="inlineStr">
        <is>
          <t xml:space="preserve">water </t>
        </is>
      </c>
      <c r="B7443">
        <f>VLOOKUP(1128,Requirements!A2:B2967,2,FALSE)</f>
        <v/>
      </c>
    </row>
    <row r="7444">
      <c r="A7444" t="inlineStr">
        <is>
          <t xml:space="preserve">water </t>
        </is>
      </c>
      <c r="B7444">
        <f>VLOOKUP(1137,Requirements!A2:B2967,2,FALSE)</f>
        <v/>
      </c>
    </row>
    <row r="7445">
      <c r="A7445" t="inlineStr">
        <is>
          <t xml:space="preserve">water </t>
        </is>
      </c>
      <c r="B7445">
        <f>VLOOKUP(1146,Requirements!A2:B2967,2,FALSE)</f>
        <v/>
      </c>
    </row>
    <row r="7446">
      <c r="A7446" t="inlineStr">
        <is>
          <t xml:space="preserve">water </t>
        </is>
      </c>
      <c r="B7446">
        <f>VLOOKUP(1153,Requirements!A2:B2967,2,FALSE)</f>
        <v/>
      </c>
    </row>
    <row r="7447">
      <c r="A7447" t="inlineStr">
        <is>
          <t xml:space="preserve">water </t>
        </is>
      </c>
      <c r="B7447">
        <f>VLOOKUP(1164,Requirements!A2:B2967,2,FALSE)</f>
        <v/>
      </c>
    </row>
    <row r="7448">
      <c r="A7448" t="inlineStr">
        <is>
          <t xml:space="preserve">water </t>
        </is>
      </c>
      <c r="B7448">
        <f>VLOOKUP(1186,Requirements!A2:B2967,2,FALSE)</f>
        <v/>
      </c>
    </row>
    <row r="7449">
      <c r="A7449" t="inlineStr">
        <is>
          <t xml:space="preserve">water </t>
        </is>
      </c>
      <c r="B7449">
        <f>VLOOKUP(1202,Requirements!A2:B2967,2,FALSE)</f>
        <v/>
      </c>
    </row>
    <row r="7450">
      <c r="A7450" t="inlineStr">
        <is>
          <t xml:space="preserve">water </t>
        </is>
      </c>
      <c r="B7450">
        <f>VLOOKUP(1214,Requirements!A2:B2967,2,FALSE)</f>
        <v/>
      </c>
    </row>
    <row r="7451">
      <c r="A7451" t="inlineStr">
        <is>
          <t xml:space="preserve">water </t>
        </is>
      </c>
      <c r="B7451">
        <f>VLOOKUP(1216,Requirements!A2:B2967,2,FALSE)</f>
        <v/>
      </c>
    </row>
    <row r="7452">
      <c r="A7452" t="inlineStr">
        <is>
          <t xml:space="preserve">water </t>
        </is>
      </c>
      <c r="B7452">
        <f>VLOOKUP(1219,Requirements!A2:B2967,2,FALSE)</f>
        <v/>
      </c>
    </row>
    <row r="7453">
      <c r="A7453" t="inlineStr">
        <is>
          <t xml:space="preserve">water </t>
        </is>
      </c>
      <c r="B7453">
        <f>VLOOKUP(1266,Requirements!A2:B2967,2,FALSE)</f>
        <v/>
      </c>
    </row>
    <row r="7454">
      <c r="A7454" t="inlineStr">
        <is>
          <t xml:space="preserve">water </t>
        </is>
      </c>
      <c r="B7454">
        <f>VLOOKUP(1280,Requirements!A2:B2967,2,FALSE)</f>
        <v/>
      </c>
    </row>
    <row r="7455">
      <c r="A7455" t="inlineStr">
        <is>
          <t xml:space="preserve">water </t>
        </is>
      </c>
      <c r="B7455">
        <f>VLOOKUP(1300,Requirements!A2:B2967,2,FALSE)</f>
        <v/>
      </c>
    </row>
    <row r="7456">
      <c r="A7456" t="inlineStr">
        <is>
          <t xml:space="preserve">water </t>
        </is>
      </c>
      <c r="B7456">
        <f>VLOOKUP(1336,Requirements!A2:B2967,2,FALSE)</f>
        <v/>
      </c>
    </row>
    <row r="7457">
      <c r="A7457" t="inlineStr">
        <is>
          <t xml:space="preserve">water </t>
        </is>
      </c>
      <c r="B7457">
        <f>VLOOKUP(1398,Requirements!A2:B2967,2,FALSE)</f>
        <v/>
      </c>
    </row>
    <row r="7458">
      <c r="A7458" t="inlineStr">
        <is>
          <t xml:space="preserve">water </t>
        </is>
      </c>
      <c r="B7458">
        <f>VLOOKUP(1459,Requirements!A2:B2967,2,FALSE)</f>
        <v/>
      </c>
    </row>
    <row r="7459">
      <c r="A7459" t="inlineStr">
        <is>
          <t xml:space="preserve">water </t>
        </is>
      </c>
      <c r="B7459">
        <f>VLOOKUP(1471,Requirements!A2:B2967,2,FALSE)</f>
        <v/>
      </c>
    </row>
    <row r="7460">
      <c r="A7460" t="inlineStr">
        <is>
          <t xml:space="preserve">water </t>
        </is>
      </c>
      <c r="B7460">
        <f>VLOOKUP(1476,Requirements!A2:B2967,2,FALSE)</f>
        <v/>
      </c>
    </row>
    <row r="7461">
      <c r="A7461" t="inlineStr">
        <is>
          <t xml:space="preserve">water </t>
        </is>
      </c>
      <c r="B7461">
        <f>VLOOKUP(1480,Requirements!A2:B2967,2,FALSE)</f>
        <v/>
      </c>
    </row>
    <row r="7462">
      <c r="A7462" t="inlineStr">
        <is>
          <t xml:space="preserve">water </t>
        </is>
      </c>
      <c r="B7462">
        <f>VLOOKUP(1483,Requirements!A2:B2967,2,FALSE)</f>
        <v/>
      </c>
    </row>
    <row r="7463">
      <c r="A7463" t="inlineStr">
        <is>
          <t xml:space="preserve">water </t>
        </is>
      </c>
      <c r="B7463">
        <f>VLOOKUP(1507,Requirements!A2:B2967,2,FALSE)</f>
        <v/>
      </c>
    </row>
    <row r="7464">
      <c r="A7464" t="inlineStr">
        <is>
          <t xml:space="preserve">water </t>
        </is>
      </c>
      <c r="B7464">
        <f>VLOOKUP(1516,Requirements!A2:B2967,2,FALSE)</f>
        <v/>
      </c>
    </row>
    <row r="7465">
      <c r="A7465" t="inlineStr">
        <is>
          <t xml:space="preserve">water </t>
        </is>
      </c>
      <c r="B7465">
        <f>VLOOKUP(1525,Requirements!A2:B2967,2,FALSE)</f>
        <v/>
      </c>
    </row>
    <row r="7466">
      <c r="A7466" t="inlineStr">
        <is>
          <t xml:space="preserve">water </t>
        </is>
      </c>
      <c r="B7466">
        <f>VLOOKUP(1526,Requirements!A2:B2967,2,FALSE)</f>
        <v/>
      </c>
    </row>
    <row r="7467">
      <c r="A7467" t="inlineStr">
        <is>
          <t xml:space="preserve">water </t>
        </is>
      </c>
      <c r="B7467">
        <f>VLOOKUP(1553,Requirements!A2:B2967,2,FALSE)</f>
        <v/>
      </c>
    </row>
    <row r="7468">
      <c r="A7468" t="inlineStr">
        <is>
          <t xml:space="preserve">water </t>
        </is>
      </c>
      <c r="B7468">
        <f>VLOOKUP(1576,Requirements!A2:B2967,2,FALSE)</f>
        <v/>
      </c>
    </row>
    <row r="7469">
      <c r="A7469" t="inlineStr">
        <is>
          <t xml:space="preserve">water </t>
        </is>
      </c>
      <c r="B7469">
        <f>VLOOKUP(1578,Requirements!A2:B2967,2,FALSE)</f>
        <v/>
      </c>
    </row>
    <row r="7470">
      <c r="A7470" t="inlineStr">
        <is>
          <t xml:space="preserve">water </t>
        </is>
      </c>
      <c r="B7470">
        <f>VLOOKUP(1588,Requirements!A2:B2967,2,FALSE)</f>
        <v/>
      </c>
    </row>
    <row r="7471">
      <c r="A7471" t="inlineStr">
        <is>
          <t xml:space="preserve">water </t>
        </is>
      </c>
      <c r="B7471">
        <f>VLOOKUP(1683,Requirements!A2:B2967,2,FALSE)</f>
        <v/>
      </c>
    </row>
    <row r="7472">
      <c r="A7472" t="inlineStr">
        <is>
          <t xml:space="preserve">water </t>
        </is>
      </c>
      <c r="B7472">
        <f>VLOOKUP(1702,Requirements!A2:B2967,2,FALSE)</f>
        <v/>
      </c>
    </row>
    <row r="7473">
      <c r="A7473" t="inlineStr">
        <is>
          <t xml:space="preserve">water </t>
        </is>
      </c>
      <c r="B7473">
        <f>VLOOKUP(1718,Requirements!A2:B2967,2,FALSE)</f>
        <v/>
      </c>
    </row>
    <row r="7474">
      <c r="A7474" t="inlineStr">
        <is>
          <t xml:space="preserve">water </t>
        </is>
      </c>
      <c r="B7474">
        <f>VLOOKUP(1724,Requirements!A2:B2967,2,FALSE)</f>
        <v/>
      </c>
    </row>
    <row r="7475">
      <c r="A7475" t="inlineStr">
        <is>
          <t xml:space="preserve">water </t>
        </is>
      </c>
      <c r="B7475">
        <f>VLOOKUP(1773,Requirements!A2:B2967,2,FALSE)</f>
        <v/>
      </c>
    </row>
    <row r="7476">
      <c r="A7476" t="inlineStr">
        <is>
          <t xml:space="preserve">water </t>
        </is>
      </c>
      <c r="B7476">
        <f>VLOOKUP(1805,Requirements!A2:B2967,2,FALSE)</f>
        <v/>
      </c>
    </row>
    <row r="7477">
      <c r="A7477" t="inlineStr">
        <is>
          <t xml:space="preserve">water </t>
        </is>
      </c>
      <c r="B7477">
        <f>VLOOKUP(1816,Requirements!A2:B2967,2,FALSE)</f>
        <v/>
      </c>
    </row>
    <row r="7478">
      <c r="A7478" t="inlineStr">
        <is>
          <t xml:space="preserve">water </t>
        </is>
      </c>
      <c r="B7478">
        <f>VLOOKUP(1924,Requirements!A2:B2967,2,FALSE)</f>
        <v/>
      </c>
    </row>
    <row r="7479">
      <c r="A7479" t="inlineStr">
        <is>
          <t xml:space="preserve">water </t>
        </is>
      </c>
      <c r="B7479">
        <f>VLOOKUP(1988,Requirements!A2:B2967,2,FALSE)</f>
        <v/>
      </c>
    </row>
    <row r="7480">
      <c r="A7480" t="inlineStr">
        <is>
          <t xml:space="preserve">water </t>
        </is>
      </c>
      <c r="B7480">
        <f>VLOOKUP(2012,Requirements!A2:B2967,2,FALSE)</f>
        <v/>
      </c>
    </row>
    <row r="7481">
      <c r="A7481" t="inlineStr">
        <is>
          <t xml:space="preserve">water </t>
        </is>
      </c>
      <c r="B7481">
        <f>VLOOKUP(2017,Requirements!A2:B2967,2,FALSE)</f>
        <v/>
      </c>
    </row>
    <row r="7482">
      <c r="A7482" t="inlineStr">
        <is>
          <t xml:space="preserve">water </t>
        </is>
      </c>
      <c r="B7482">
        <f>VLOOKUP(2034,Requirements!A2:B2967,2,FALSE)</f>
        <v/>
      </c>
    </row>
    <row r="7483">
      <c r="A7483" t="inlineStr">
        <is>
          <t xml:space="preserve">water </t>
        </is>
      </c>
      <c r="B7483">
        <f>VLOOKUP(2040,Requirements!A2:B2967,2,FALSE)</f>
        <v/>
      </c>
    </row>
    <row r="7484">
      <c r="A7484" t="inlineStr">
        <is>
          <t xml:space="preserve">water </t>
        </is>
      </c>
      <c r="B7484">
        <f>VLOOKUP(2056,Requirements!A2:B2967,2,FALSE)</f>
        <v/>
      </c>
    </row>
    <row r="7485">
      <c r="A7485" t="inlineStr">
        <is>
          <t xml:space="preserve">water </t>
        </is>
      </c>
      <c r="B7485">
        <f>VLOOKUP(2070,Requirements!A2:B2967,2,FALSE)</f>
        <v/>
      </c>
    </row>
    <row r="7486">
      <c r="A7486" t="inlineStr">
        <is>
          <t xml:space="preserve">water </t>
        </is>
      </c>
      <c r="B7486">
        <f>VLOOKUP(2076,Requirements!A2:B2967,2,FALSE)</f>
        <v/>
      </c>
    </row>
    <row r="7487">
      <c r="A7487" t="inlineStr">
        <is>
          <t xml:space="preserve">water </t>
        </is>
      </c>
      <c r="B7487">
        <f>VLOOKUP(2082,Requirements!A2:B2967,2,FALSE)</f>
        <v/>
      </c>
    </row>
    <row r="7488">
      <c r="A7488" t="inlineStr">
        <is>
          <t xml:space="preserve">water </t>
        </is>
      </c>
      <c r="B7488">
        <f>VLOOKUP(2084,Requirements!A2:B2967,2,FALSE)</f>
        <v/>
      </c>
    </row>
    <row r="7489">
      <c r="A7489" t="inlineStr">
        <is>
          <t xml:space="preserve">water </t>
        </is>
      </c>
      <c r="B7489">
        <f>VLOOKUP(2144,Requirements!A2:B2967,2,FALSE)</f>
        <v/>
      </c>
    </row>
    <row r="7490">
      <c r="A7490" t="inlineStr">
        <is>
          <t xml:space="preserve">water </t>
        </is>
      </c>
      <c r="B7490">
        <f>VLOOKUP(2147,Requirements!A2:B2967,2,FALSE)</f>
        <v/>
      </c>
    </row>
    <row r="7491">
      <c r="A7491" t="inlineStr">
        <is>
          <t xml:space="preserve">water </t>
        </is>
      </c>
      <c r="B7491">
        <f>VLOOKUP(2245,Requirements!A2:B2967,2,FALSE)</f>
        <v/>
      </c>
    </row>
    <row r="7492">
      <c r="A7492" t="inlineStr">
        <is>
          <t xml:space="preserve">water </t>
        </is>
      </c>
      <c r="B7492">
        <f>VLOOKUP(2263,Requirements!A2:B2967,2,FALSE)</f>
        <v/>
      </c>
    </row>
    <row r="7493">
      <c r="A7493" t="inlineStr">
        <is>
          <t xml:space="preserve">water </t>
        </is>
      </c>
      <c r="B7493">
        <f>VLOOKUP(2264,Requirements!A2:B2967,2,FALSE)</f>
        <v/>
      </c>
    </row>
    <row r="7494">
      <c r="A7494" t="inlineStr">
        <is>
          <t xml:space="preserve">water </t>
        </is>
      </c>
      <c r="B7494">
        <f>VLOOKUP(2343,Requirements!A2:B2967,2,FALSE)</f>
        <v/>
      </c>
    </row>
    <row r="7495">
      <c r="A7495" t="inlineStr">
        <is>
          <t xml:space="preserve">water </t>
        </is>
      </c>
      <c r="B7495">
        <f>VLOOKUP(2351,Requirements!A2:B2967,2,FALSE)</f>
        <v/>
      </c>
    </row>
    <row r="7496">
      <c r="A7496" t="inlineStr">
        <is>
          <t xml:space="preserve">water </t>
        </is>
      </c>
      <c r="B7496">
        <f>VLOOKUP(2379,Requirements!A2:B2967,2,FALSE)</f>
        <v/>
      </c>
    </row>
    <row r="7497">
      <c r="A7497" t="inlineStr">
        <is>
          <t xml:space="preserve">water </t>
        </is>
      </c>
      <c r="B7497">
        <f>VLOOKUP(2390,Requirements!A2:B2967,2,FALSE)</f>
        <v/>
      </c>
    </row>
    <row r="7498">
      <c r="A7498" t="inlineStr">
        <is>
          <t xml:space="preserve">water </t>
        </is>
      </c>
      <c r="B7498">
        <f>VLOOKUP(2415,Requirements!A2:B2967,2,FALSE)</f>
        <v/>
      </c>
    </row>
    <row r="7499">
      <c r="A7499" t="inlineStr">
        <is>
          <t xml:space="preserve">water </t>
        </is>
      </c>
      <c r="B7499">
        <f>VLOOKUP(2417,Requirements!A2:B2967,2,FALSE)</f>
        <v/>
      </c>
    </row>
    <row r="7500">
      <c r="A7500" t="inlineStr">
        <is>
          <t xml:space="preserve">water </t>
        </is>
      </c>
      <c r="B7500">
        <f>VLOOKUP(2446,Requirements!A2:B2967,2,FALSE)</f>
        <v/>
      </c>
    </row>
    <row r="7501">
      <c r="A7501" t="inlineStr">
        <is>
          <t xml:space="preserve">water </t>
        </is>
      </c>
      <c r="B7501">
        <f>VLOOKUP(2470,Requirements!A2:B2967,2,FALSE)</f>
        <v/>
      </c>
    </row>
    <row r="7502">
      <c r="A7502" t="inlineStr">
        <is>
          <t xml:space="preserve">water </t>
        </is>
      </c>
      <c r="B7502">
        <f>VLOOKUP(2498,Requirements!A2:B2967,2,FALSE)</f>
        <v/>
      </c>
    </row>
    <row r="7503">
      <c r="A7503" t="inlineStr">
        <is>
          <t xml:space="preserve">water </t>
        </is>
      </c>
      <c r="B7503">
        <f>VLOOKUP(2511,Requirements!A2:B2967,2,FALSE)</f>
        <v/>
      </c>
    </row>
    <row r="7504">
      <c r="A7504" t="inlineStr">
        <is>
          <t xml:space="preserve">water </t>
        </is>
      </c>
      <c r="B7504">
        <f>VLOOKUP(2512,Requirements!A2:B2967,2,FALSE)</f>
        <v/>
      </c>
    </row>
    <row r="7505">
      <c r="A7505" t="inlineStr">
        <is>
          <t xml:space="preserve">water </t>
        </is>
      </c>
      <c r="B7505">
        <f>VLOOKUP(2525,Requirements!A2:B2967,2,FALSE)</f>
        <v/>
      </c>
    </row>
    <row r="7506">
      <c r="A7506" t="inlineStr">
        <is>
          <t xml:space="preserve">water </t>
        </is>
      </c>
      <c r="B7506">
        <f>VLOOKUP(2526,Requirements!A2:B2967,2,FALSE)</f>
        <v/>
      </c>
    </row>
    <row r="7507">
      <c r="A7507" t="inlineStr">
        <is>
          <t xml:space="preserve">water </t>
        </is>
      </c>
      <c r="B7507">
        <f>VLOOKUP(2548,Requirements!A2:B2967,2,FALSE)</f>
        <v/>
      </c>
    </row>
    <row r="7508">
      <c r="A7508" t="inlineStr">
        <is>
          <t xml:space="preserve">water </t>
        </is>
      </c>
      <c r="B7508">
        <f>VLOOKUP(2560,Requirements!A2:B2967,2,FALSE)</f>
        <v/>
      </c>
    </row>
    <row r="7509">
      <c r="A7509" t="inlineStr">
        <is>
          <t xml:space="preserve">water </t>
        </is>
      </c>
      <c r="B7509">
        <f>VLOOKUP(2562,Requirements!A2:B2967,2,FALSE)</f>
        <v/>
      </c>
    </row>
    <row r="7510">
      <c r="A7510" t="inlineStr">
        <is>
          <t xml:space="preserve">water </t>
        </is>
      </c>
      <c r="B7510">
        <f>VLOOKUP(2570,Requirements!A2:B2967,2,FALSE)</f>
        <v/>
      </c>
    </row>
    <row r="7511">
      <c r="A7511" t="inlineStr">
        <is>
          <t xml:space="preserve">water </t>
        </is>
      </c>
      <c r="B7511">
        <f>VLOOKUP(2577,Requirements!A2:B2967,2,FALSE)</f>
        <v/>
      </c>
    </row>
    <row r="7512">
      <c r="A7512" t="inlineStr">
        <is>
          <t xml:space="preserve">water </t>
        </is>
      </c>
      <c r="B7512">
        <f>VLOOKUP(2585,Requirements!A2:B2967,2,FALSE)</f>
        <v/>
      </c>
    </row>
    <row r="7513">
      <c r="A7513" t="inlineStr">
        <is>
          <t xml:space="preserve">water </t>
        </is>
      </c>
      <c r="B7513">
        <f>VLOOKUP(2588,Requirements!A2:B2967,2,FALSE)</f>
        <v/>
      </c>
    </row>
    <row r="7514">
      <c r="A7514" t="inlineStr">
        <is>
          <t xml:space="preserve">water </t>
        </is>
      </c>
      <c r="B7514">
        <f>VLOOKUP(2603,Requirements!A2:B2967,2,FALSE)</f>
        <v/>
      </c>
    </row>
    <row r="7515">
      <c r="A7515" t="inlineStr">
        <is>
          <t xml:space="preserve">water </t>
        </is>
      </c>
      <c r="B7515">
        <f>VLOOKUP(2607,Requirements!A2:B2967,2,FALSE)</f>
        <v/>
      </c>
    </row>
    <row r="7516">
      <c r="A7516" t="inlineStr">
        <is>
          <t xml:space="preserve">water </t>
        </is>
      </c>
      <c r="B7516">
        <f>VLOOKUP(2642,Requirements!A2:B2967,2,FALSE)</f>
        <v/>
      </c>
    </row>
    <row r="7517">
      <c r="A7517" t="inlineStr">
        <is>
          <t xml:space="preserve">water </t>
        </is>
      </c>
      <c r="B7517">
        <f>VLOOKUP(2727,Requirements!A2:B2967,2,FALSE)</f>
        <v/>
      </c>
    </row>
    <row r="7518">
      <c r="A7518" t="inlineStr">
        <is>
          <t xml:space="preserve">water </t>
        </is>
      </c>
      <c r="B7518">
        <f>VLOOKUP(2771,Requirements!A2:B2967,2,FALSE)</f>
        <v/>
      </c>
    </row>
    <row r="7519">
      <c r="A7519" t="inlineStr">
        <is>
          <t xml:space="preserve">water </t>
        </is>
      </c>
      <c r="B7519">
        <f>VLOOKUP(2776,Requirements!A2:B2967,2,FALSE)</f>
        <v/>
      </c>
    </row>
    <row r="7520">
      <c r="A7520" t="inlineStr">
        <is>
          <t xml:space="preserve">water </t>
        </is>
      </c>
      <c r="B7520">
        <f>VLOOKUP(2778,Requirements!A2:B2967,2,FALSE)</f>
        <v/>
      </c>
    </row>
    <row r="7521">
      <c r="A7521" t="inlineStr">
        <is>
          <t xml:space="preserve">water </t>
        </is>
      </c>
      <c r="B7521">
        <f>VLOOKUP(2783,Requirements!A2:B2967,2,FALSE)</f>
        <v/>
      </c>
    </row>
    <row r="7522">
      <c r="A7522" t="inlineStr">
        <is>
          <t xml:space="preserve">water </t>
        </is>
      </c>
      <c r="B7522">
        <f>VLOOKUP(2806,Requirements!A2:B2967,2,FALSE)</f>
        <v/>
      </c>
    </row>
    <row r="7523">
      <c r="A7523" t="inlineStr">
        <is>
          <t xml:space="preserve">water </t>
        </is>
      </c>
      <c r="B7523">
        <f>VLOOKUP(2840,Requirements!A2:B2967,2,FALSE)</f>
        <v/>
      </c>
    </row>
    <row r="7524">
      <c r="A7524" t="inlineStr">
        <is>
          <t xml:space="preserve">water </t>
        </is>
      </c>
      <c r="B7524">
        <f>VLOOKUP(2863,Requirements!A2:B2967,2,FALSE)</f>
        <v/>
      </c>
    </row>
    <row r="7525">
      <c r="A7525" t="inlineStr">
        <is>
          <t xml:space="preserve">water </t>
        </is>
      </c>
      <c r="B7525">
        <f>VLOOKUP(2874,Requirements!A2:B2967,2,FALSE)</f>
        <v/>
      </c>
    </row>
    <row r="7526">
      <c r="A7526" t="inlineStr">
        <is>
          <t xml:space="preserve">water </t>
        </is>
      </c>
      <c r="B7526">
        <f>VLOOKUP(2883,Requirements!A2:B2967,2,FALSE)</f>
        <v/>
      </c>
    </row>
    <row r="7527">
      <c r="A7527" t="inlineStr">
        <is>
          <t xml:space="preserve">water </t>
        </is>
      </c>
      <c r="B7527">
        <f>VLOOKUP(2897,Requirements!A2:B2967,2,FALSE)</f>
        <v/>
      </c>
    </row>
    <row r="7528">
      <c r="A7528" t="inlineStr">
        <is>
          <t xml:space="preserve">water </t>
        </is>
      </c>
      <c r="B7528">
        <f>VLOOKUP(2900,Requirements!A2:B2967,2,FALSE)</f>
        <v/>
      </c>
    </row>
    <row r="7529">
      <c r="A7529" t="inlineStr">
        <is>
          <t xml:space="preserve">water </t>
        </is>
      </c>
      <c r="B7529">
        <f>VLOOKUP(2905,Requirements!A2:B2967,2,FALSE)</f>
        <v/>
      </c>
    </row>
    <row r="7530">
      <c r="A7530" t="inlineStr">
        <is>
          <t xml:space="preserve">water </t>
        </is>
      </c>
      <c r="B7530">
        <f>VLOOKUP(2910,Requirements!A2:B2967,2,FALSE)</f>
        <v/>
      </c>
    </row>
    <row r="7531">
      <c r="A7531" t="inlineStr">
        <is>
          <t xml:space="preserve">water </t>
        </is>
      </c>
      <c r="B7531">
        <f>VLOOKUP(2926,Requirements!A2:B2967,2,FALSE)</f>
        <v/>
      </c>
    </row>
    <row r="7532">
      <c r="A7532" t="inlineStr">
        <is>
          <t xml:space="preserve">water </t>
        </is>
      </c>
      <c r="B7532">
        <f>VLOOKUP(2942,Requirements!A2:B2967,2,FALSE)</f>
        <v/>
      </c>
    </row>
    <row r="7533">
      <c r="A7533" t="inlineStr">
        <is>
          <t xml:space="preserve">water </t>
        </is>
      </c>
      <c r="B7533">
        <f>VLOOKUP(2950,Requirements!A2:B2967,2,FALSE)</f>
        <v/>
      </c>
    </row>
    <row r="7534">
      <c r="A7534" t="inlineStr">
        <is>
          <t xml:space="preserve">water </t>
        </is>
      </c>
      <c r="B7534">
        <f>VLOOKUP(2958,Requirements!A2:B2967,2,FALSE)</f>
        <v/>
      </c>
    </row>
    <row r="7535">
      <c r="A7535" t="inlineStr">
        <is>
          <t xml:space="preserve">water </t>
        </is>
      </c>
      <c r="B7535">
        <f>VLOOKUP(2977,Requirements!A2:B2967,2,FALSE)</f>
        <v/>
      </c>
    </row>
    <row r="7536">
      <c r="A7536" t="inlineStr">
        <is>
          <t xml:space="preserve">water </t>
        </is>
      </c>
      <c r="B7536">
        <f>VLOOKUP(2979,Requirements!A2:B2967,2,FALSE)</f>
        <v/>
      </c>
    </row>
    <row r="7537">
      <c r="A7537" t="inlineStr">
        <is>
          <t xml:space="preserve">water </t>
        </is>
      </c>
      <c r="B7537">
        <f>VLOOKUP(2995,Requirements!A2:B2967,2,FALSE)</f>
        <v/>
      </c>
    </row>
    <row r="7538">
      <c r="A7538" t="inlineStr">
        <is>
          <t xml:space="preserve">water </t>
        </is>
      </c>
      <c r="B7538">
        <f>VLOOKUP(3063,Requirements!A2:B2967,2,FALSE)</f>
        <v/>
      </c>
    </row>
    <row r="7539">
      <c r="A7539" t="inlineStr">
        <is>
          <t xml:space="preserve">water </t>
        </is>
      </c>
      <c r="B7539">
        <f>VLOOKUP(3084,Requirements!A2:B2967,2,FALSE)</f>
        <v/>
      </c>
    </row>
    <row r="7540">
      <c r="A7540" t="inlineStr">
        <is>
          <t xml:space="preserve">water </t>
        </is>
      </c>
      <c r="B7540">
        <f>VLOOKUP(3090,Requirements!A2:B2967,2,FALSE)</f>
        <v/>
      </c>
    </row>
    <row r="7541">
      <c r="A7541" t="inlineStr">
        <is>
          <t xml:space="preserve">water </t>
        </is>
      </c>
      <c r="B7541">
        <f>VLOOKUP(3134,Requirements!A2:B2967,2,FALSE)</f>
        <v/>
      </c>
    </row>
    <row r="7542">
      <c r="A7542" t="inlineStr">
        <is>
          <t xml:space="preserve">water </t>
        </is>
      </c>
      <c r="B7542">
        <f>VLOOKUP(3135,Requirements!A2:B2967,2,FALSE)</f>
        <v/>
      </c>
    </row>
    <row r="7543">
      <c r="A7543" t="inlineStr">
        <is>
          <t xml:space="preserve">water </t>
        </is>
      </c>
      <c r="B7543">
        <f>VLOOKUP(3158,Requirements!A2:B2967,2,FALSE)</f>
        <v/>
      </c>
    </row>
    <row r="7544">
      <c r="A7544" t="inlineStr">
        <is>
          <t xml:space="preserve">water </t>
        </is>
      </c>
      <c r="B7544">
        <f>VLOOKUP(3191,Requirements!A2:B2967,2,FALSE)</f>
        <v/>
      </c>
    </row>
    <row r="7545">
      <c r="A7545" t="inlineStr">
        <is>
          <t xml:space="preserve">water </t>
        </is>
      </c>
      <c r="B7545">
        <f>VLOOKUP(3234,Requirements!A2:B2967,2,FALSE)</f>
        <v/>
      </c>
    </row>
    <row r="7546">
      <c r="A7546" t="inlineStr">
        <is>
          <t xml:space="preserve">water </t>
        </is>
      </c>
      <c r="B7546">
        <f>VLOOKUP(3240,Requirements!A2:B2967,2,FALSE)</f>
        <v/>
      </c>
    </row>
    <row r="7547">
      <c r="A7547" t="inlineStr">
        <is>
          <t xml:space="preserve">water </t>
        </is>
      </c>
      <c r="B7547">
        <f>VLOOKUP(3243,Requirements!A2:B2967,2,FALSE)</f>
        <v/>
      </c>
    </row>
    <row r="7548">
      <c r="A7548" t="inlineStr">
        <is>
          <t xml:space="preserve">schedule </t>
        </is>
      </c>
      <c r="B7548">
        <f>VLOOKUP(94,Requirements!A2:B2967,2,FALSE)</f>
        <v/>
      </c>
    </row>
    <row r="7549">
      <c r="A7549" t="inlineStr">
        <is>
          <t xml:space="preserve">schedule </t>
        </is>
      </c>
      <c r="B7549">
        <f>VLOOKUP(232,Requirements!A2:B2967,2,FALSE)</f>
        <v/>
      </c>
    </row>
    <row r="7550">
      <c r="A7550" t="inlineStr">
        <is>
          <t xml:space="preserve">schedule </t>
        </is>
      </c>
      <c r="B7550">
        <f>VLOOKUP(455,Requirements!A2:B2967,2,FALSE)</f>
        <v/>
      </c>
    </row>
    <row r="7551">
      <c r="A7551" t="inlineStr">
        <is>
          <t xml:space="preserve">schedule </t>
        </is>
      </c>
      <c r="B7551">
        <f>VLOOKUP(1187,Requirements!A2:B2967,2,FALSE)</f>
        <v/>
      </c>
    </row>
    <row r="7552">
      <c r="A7552" t="inlineStr">
        <is>
          <t xml:space="preserve">schedule </t>
        </is>
      </c>
      <c r="B7552">
        <f>VLOOKUP(1414,Requirements!A2:B2967,2,FALSE)</f>
        <v/>
      </c>
    </row>
    <row r="7553">
      <c r="A7553" t="inlineStr">
        <is>
          <t xml:space="preserve">schedule </t>
        </is>
      </c>
      <c r="B7553">
        <f>VLOOKUP(1659,Requirements!A2:B2967,2,FALSE)</f>
        <v/>
      </c>
    </row>
    <row r="7554">
      <c r="A7554" t="inlineStr">
        <is>
          <t xml:space="preserve">schedule </t>
        </is>
      </c>
      <c r="B7554">
        <f>VLOOKUP(1669,Requirements!A2:B2967,2,FALSE)</f>
        <v/>
      </c>
    </row>
    <row r="7555">
      <c r="A7555" t="inlineStr">
        <is>
          <t xml:space="preserve">schedule </t>
        </is>
      </c>
      <c r="B7555">
        <f>VLOOKUP(1971,Requirements!A2:B2967,2,FALSE)</f>
        <v/>
      </c>
    </row>
    <row r="7556">
      <c r="A7556" t="inlineStr">
        <is>
          <t xml:space="preserve">schedule </t>
        </is>
      </c>
      <c r="B7556">
        <f>VLOOKUP(2163,Requirements!A2:B2967,2,FALSE)</f>
        <v/>
      </c>
    </row>
    <row r="7557">
      <c r="A7557" t="inlineStr">
        <is>
          <t xml:space="preserve">schedule </t>
        </is>
      </c>
      <c r="B7557">
        <f>VLOOKUP(2326,Requirements!A2:B2967,2,FALSE)</f>
        <v/>
      </c>
    </row>
    <row r="7558">
      <c r="A7558" t="inlineStr">
        <is>
          <t xml:space="preserve">schedule </t>
        </is>
      </c>
      <c r="B7558">
        <f>VLOOKUP(2449,Requirements!A2:B2967,2,FALSE)</f>
        <v/>
      </c>
    </row>
    <row r="7559">
      <c r="A7559" t="inlineStr">
        <is>
          <t xml:space="preserve">schedule </t>
        </is>
      </c>
      <c r="B7559">
        <f>VLOOKUP(2805,Requirements!A2:B2967,2,FALSE)</f>
        <v/>
      </c>
    </row>
    <row r="7560">
      <c r="A7560" t="inlineStr">
        <is>
          <t xml:space="preserve">system </t>
        </is>
      </c>
      <c r="B7560">
        <f>VLOOKUP(96,Requirements!A2:B2967,2,FALSE)</f>
        <v/>
      </c>
    </row>
    <row r="7561">
      <c r="A7561" t="inlineStr">
        <is>
          <t xml:space="preserve">system </t>
        </is>
      </c>
      <c r="B7561">
        <f>VLOOKUP(188,Requirements!A2:B2967,2,FALSE)</f>
        <v/>
      </c>
    </row>
    <row r="7562">
      <c r="A7562" t="inlineStr">
        <is>
          <t xml:space="preserve">system </t>
        </is>
      </c>
      <c r="B7562">
        <f>VLOOKUP(204,Requirements!A2:B2967,2,FALSE)</f>
        <v/>
      </c>
    </row>
    <row r="7563">
      <c r="A7563" t="inlineStr">
        <is>
          <t xml:space="preserve">system </t>
        </is>
      </c>
      <c r="B7563">
        <f>VLOOKUP(223,Requirements!A2:B2967,2,FALSE)</f>
        <v/>
      </c>
    </row>
    <row r="7564">
      <c r="A7564" t="inlineStr">
        <is>
          <t xml:space="preserve">system </t>
        </is>
      </c>
      <c r="B7564">
        <f>VLOOKUP(459,Requirements!A2:B2967,2,FALSE)</f>
        <v/>
      </c>
    </row>
    <row r="7565">
      <c r="A7565" t="inlineStr">
        <is>
          <t xml:space="preserve">system </t>
        </is>
      </c>
      <c r="B7565">
        <f>VLOOKUP(546,Requirements!A2:B2967,2,FALSE)</f>
        <v/>
      </c>
    </row>
    <row r="7566">
      <c r="A7566" t="inlineStr">
        <is>
          <t xml:space="preserve">system </t>
        </is>
      </c>
      <c r="B7566">
        <f>VLOOKUP(577,Requirements!A2:B2967,2,FALSE)</f>
        <v/>
      </c>
    </row>
    <row r="7567">
      <c r="A7567" t="inlineStr">
        <is>
          <t xml:space="preserve">system </t>
        </is>
      </c>
      <c r="B7567">
        <f>VLOOKUP(621,Requirements!A2:B2967,2,FALSE)</f>
        <v/>
      </c>
    </row>
    <row r="7568">
      <c r="A7568" t="inlineStr">
        <is>
          <t xml:space="preserve">system </t>
        </is>
      </c>
      <c r="B7568">
        <f>VLOOKUP(753,Requirements!A2:B2967,2,FALSE)</f>
        <v/>
      </c>
    </row>
    <row r="7569">
      <c r="A7569" t="inlineStr">
        <is>
          <t xml:space="preserve">system </t>
        </is>
      </c>
      <c r="B7569">
        <f>VLOOKUP(794,Requirements!A2:B2967,2,FALSE)</f>
        <v/>
      </c>
    </row>
    <row r="7570">
      <c r="A7570" t="inlineStr">
        <is>
          <t xml:space="preserve">system </t>
        </is>
      </c>
      <c r="B7570">
        <f>VLOOKUP(888,Requirements!A2:B2967,2,FALSE)</f>
        <v/>
      </c>
    </row>
    <row r="7571">
      <c r="A7571" t="inlineStr">
        <is>
          <t xml:space="preserve">system </t>
        </is>
      </c>
      <c r="B7571">
        <f>VLOOKUP(892,Requirements!A2:B2967,2,FALSE)</f>
        <v/>
      </c>
    </row>
    <row r="7572">
      <c r="A7572" t="inlineStr">
        <is>
          <t xml:space="preserve">system </t>
        </is>
      </c>
      <c r="B7572">
        <f>VLOOKUP(894,Requirements!A2:B2967,2,FALSE)</f>
        <v/>
      </c>
    </row>
    <row r="7573">
      <c r="A7573" t="inlineStr">
        <is>
          <t xml:space="preserve">system </t>
        </is>
      </c>
      <c r="B7573">
        <f>VLOOKUP(999,Requirements!A2:B2967,2,FALSE)</f>
        <v/>
      </c>
    </row>
    <row r="7574">
      <c r="A7574" t="inlineStr">
        <is>
          <t xml:space="preserve">system </t>
        </is>
      </c>
      <c r="B7574">
        <f>VLOOKUP(1032,Requirements!A2:B2967,2,FALSE)</f>
        <v/>
      </c>
    </row>
    <row r="7575">
      <c r="A7575" t="inlineStr">
        <is>
          <t xml:space="preserve">system </t>
        </is>
      </c>
      <c r="B7575">
        <f>VLOOKUP(1157,Requirements!A2:B2967,2,FALSE)</f>
        <v/>
      </c>
    </row>
    <row r="7576">
      <c r="A7576" t="inlineStr">
        <is>
          <t xml:space="preserve">system </t>
        </is>
      </c>
      <c r="B7576">
        <f>VLOOKUP(1159,Requirements!A2:B2967,2,FALSE)</f>
        <v/>
      </c>
    </row>
    <row r="7577">
      <c r="A7577" t="inlineStr">
        <is>
          <t xml:space="preserve">system </t>
        </is>
      </c>
      <c r="B7577">
        <f>VLOOKUP(1169,Requirements!A2:B2967,2,FALSE)</f>
        <v/>
      </c>
    </row>
    <row r="7578">
      <c r="A7578" t="inlineStr">
        <is>
          <t xml:space="preserve">system </t>
        </is>
      </c>
      <c r="B7578">
        <f>VLOOKUP(1174,Requirements!A2:B2967,2,FALSE)</f>
        <v/>
      </c>
    </row>
    <row r="7579">
      <c r="A7579" t="inlineStr">
        <is>
          <t xml:space="preserve">system </t>
        </is>
      </c>
      <c r="B7579">
        <f>VLOOKUP(1202,Requirements!A2:B2967,2,FALSE)</f>
        <v/>
      </c>
    </row>
    <row r="7580">
      <c r="A7580" t="inlineStr">
        <is>
          <t xml:space="preserve">system </t>
        </is>
      </c>
      <c r="B7580">
        <f>VLOOKUP(1205,Requirements!A2:B2967,2,FALSE)</f>
        <v/>
      </c>
    </row>
    <row r="7581">
      <c r="A7581" t="inlineStr">
        <is>
          <t xml:space="preserve">system </t>
        </is>
      </c>
      <c r="B7581">
        <f>VLOOKUP(1272,Requirements!A2:B2967,2,FALSE)</f>
        <v/>
      </c>
    </row>
    <row r="7582">
      <c r="A7582" t="inlineStr">
        <is>
          <t xml:space="preserve">system </t>
        </is>
      </c>
      <c r="B7582">
        <f>VLOOKUP(1398,Requirements!A2:B2967,2,FALSE)</f>
        <v/>
      </c>
    </row>
    <row r="7583">
      <c r="A7583" t="inlineStr">
        <is>
          <t xml:space="preserve">system </t>
        </is>
      </c>
      <c r="B7583">
        <f>VLOOKUP(1412,Requirements!A2:B2967,2,FALSE)</f>
        <v/>
      </c>
    </row>
    <row r="7584">
      <c r="A7584" t="inlineStr">
        <is>
          <t xml:space="preserve">system </t>
        </is>
      </c>
      <c r="B7584">
        <f>VLOOKUP(1418,Requirements!A2:B2967,2,FALSE)</f>
        <v/>
      </c>
    </row>
    <row r="7585">
      <c r="A7585" t="inlineStr">
        <is>
          <t xml:space="preserve">system </t>
        </is>
      </c>
      <c r="B7585">
        <f>VLOOKUP(1419,Requirements!A2:B2967,2,FALSE)</f>
        <v/>
      </c>
    </row>
    <row r="7586">
      <c r="A7586" t="inlineStr">
        <is>
          <t xml:space="preserve">system </t>
        </is>
      </c>
      <c r="B7586">
        <f>VLOOKUP(1422,Requirements!A2:B2967,2,FALSE)</f>
        <v/>
      </c>
    </row>
    <row r="7587">
      <c r="A7587" t="inlineStr">
        <is>
          <t xml:space="preserve">system </t>
        </is>
      </c>
      <c r="B7587">
        <f>VLOOKUP(1426,Requirements!A2:B2967,2,FALSE)</f>
        <v/>
      </c>
    </row>
    <row r="7588">
      <c r="A7588" t="inlineStr">
        <is>
          <t xml:space="preserve">system </t>
        </is>
      </c>
      <c r="B7588">
        <f>VLOOKUP(1444,Requirements!A2:B2967,2,FALSE)</f>
        <v/>
      </c>
    </row>
    <row r="7589">
      <c r="A7589" t="inlineStr">
        <is>
          <t xml:space="preserve">system </t>
        </is>
      </c>
      <c r="B7589">
        <f>VLOOKUP(1452,Requirements!A2:B2967,2,FALSE)</f>
        <v/>
      </c>
    </row>
    <row r="7590">
      <c r="A7590" t="inlineStr">
        <is>
          <t xml:space="preserve">system </t>
        </is>
      </c>
      <c r="B7590">
        <f>VLOOKUP(1476,Requirements!A2:B2967,2,FALSE)</f>
        <v/>
      </c>
    </row>
    <row r="7591">
      <c r="A7591" t="inlineStr">
        <is>
          <t xml:space="preserve">system </t>
        </is>
      </c>
      <c r="B7591">
        <f>VLOOKUP(1486,Requirements!A2:B2967,2,FALSE)</f>
        <v/>
      </c>
    </row>
    <row r="7592">
      <c r="A7592" t="inlineStr">
        <is>
          <t xml:space="preserve">system </t>
        </is>
      </c>
      <c r="B7592">
        <f>VLOOKUP(1487,Requirements!A2:B2967,2,FALSE)</f>
        <v/>
      </c>
    </row>
    <row r="7593">
      <c r="A7593" t="inlineStr">
        <is>
          <t xml:space="preserve">system </t>
        </is>
      </c>
      <c r="B7593">
        <f>VLOOKUP(1491,Requirements!A2:B2967,2,FALSE)</f>
        <v/>
      </c>
    </row>
    <row r="7594">
      <c r="A7594" t="inlineStr">
        <is>
          <t xml:space="preserve">system </t>
        </is>
      </c>
      <c r="B7594">
        <f>VLOOKUP(1510,Requirements!A2:B2967,2,FALSE)</f>
        <v/>
      </c>
    </row>
    <row r="7595">
      <c r="A7595" t="inlineStr">
        <is>
          <t xml:space="preserve">system </t>
        </is>
      </c>
      <c r="B7595">
        <f>VLOOKUP(1530,Requirements!A2:B2967,2,FALSE)</f>
        <v/>
      </c>
    </row>
    <row r="7596">
      <c r="A7596" t="inlineStr">
        <is>
          <t xml:space="preserve">system </t>
        </is>
      </c>
      <c r="B7596">
        <f>VLOOKUP(1614,Requirements!A2:B2967,2,FALSE)</f>
        <v/>
      </c>
    </row>
    <row r="7597">
      <c r="A7597" t="inlineStr">
        <is>
          <t xml:space="preserve">system </t>
        </is>
      </c>
      <c r="B7597">
        <f>VLOOKUP(1624,Requirements!A2:B2967,2,FALSE)</f>
        <v/>
      </c>
    </row>
    <row r="7598">
      <c r="A7598" t="inlineStr">
        <is>
          <t xml:space="preserve">system </t>
        </is>
      </c>
      <c r="B7598">
        <f>VLOOKUP(1634,Requirements!A2:B2967,2,FALSE)</f>
        <v/>
      </c>
    </row>
    <row r="7599">
      <c r="A7599" t="inlineStr">
        <is>
          <t xml:space="preserve">system </t>
        </is>
      </c>
      <c r="B7599">
        <f>VLOOKUP(1665,Requirements!A2:B2967,2,FALSE)</f>
        <v/>
      </c>
    </row>
    <row r="7600">
      <c r="A7600" t="inlineStr">
        <is>
          <t xml:space="preserve">system </t>
        </is>
      </c>
      <c r="B7600">
        <f>VLOOKUP(1684,Requirements!A2:B2967,2,FALSE)</f>
        <v/>
      </c>
    </row>
    <row r="7601">
      <c r="A7601" t="inlineStr">
        <is>
          <t xml:space="preserve">system </t>
        </is>
      </c>
      <c r="B7601">
        <f>VLOOKUP(1777,Requirements!A2:B2967,2,FALSE)</f>
        <v/>
      </c>
    </row>
    <row r="7602">
      <c r="A7602" t="inlineStr">
        <is>
          <t xml:space="preserve">system </t>
        </is>
      </c>
      <c r="B7602">
        <f>VLOOKUP(1836,Requirements!A2:B2967,2,FALSE)</f>
        <v/>
      </c>
    </row>
    <row r="7603">
      <c r="A7603" t="inlineStr">
        <is>
          <t xml:space="preserve">system </t>
        </is>
      </c>
      <c r="B7603">
        <f>VLOOKUP(1838,Requirements!A2:B2967,2,FALSE)</f>
        <v/>
      </c>
    </row>
    <row r="7604">
      <c r="A7604" t="inlineStr">
        <is>
          <t xml:space="preserve">system </t>
        </is>
      </c>
      <c r="B7604">
        <f>VLOOKUP(1843,Requirements!A2:B2967,2,FALSE)</f>
        <v/>
      </c>
    </row>
    <row r="7605">
      <c r="A7605" t="inlineStr">
        <is>
          <t xml:space="preserve">system </t>
        </is>
      </c>
      <c r="B7605">
        <f>VLOOKUP(1844,Requirements!A2:B2967,2,FALSE)</f>
        <v/>
      </c>
    </row>
    <row r="7606">
      <c r="A7606" t="inlineStr">
        <is>
          <t xml:space="preserve">system </t>
        </is>
      </c>
      <c r="B7606">
        <f>VLOOKUP(1848,Requirements!A2:B2967,2,FALSE)</f>
        <v/>
      </c>
    </row>
    <row r="7607">
      <c r="A7607" t="inlineStr">
        <is>
          <t xml:space="preserve">system </t>
        </is>
      </c>
      <c r="B7607">
        <f>VLOOKUP(1851,Requirements!A2:B2967,2,FALSE)</f>
        <v/>
      </c>
    </row>
    <row r="7608">
      <c r="A7608" t="inlineStr">
        <is>
          <t xml:space="preserve">system </t>
        </is>
      </c>
      <c r="B7608">
        <f>VLOOKUP(1868,Requirements!A2:B2967,2,FALSE)</f>
        <v/>
      </c>
    </row>
    <row r="7609">
      <c r="A7609" t="inlineStr">
        <is>
          <t xml:space="preserve">system </t>
        </is>
      </c>
      <c r="B7609">
        <f>VLOOKUP(2014,Requirements!A2:B2967,2,FALSE)</f>
        <v/>
      </c>
    </row>
    <row r="7610">
      <c r="A7610" t="inlineStr">
        <is>
          <t xml:space="preserve">system </t>
        </is>
      </c>
      <c r="B7610">
        <f>VLOOKUP(2017,Requirements!A2:B2967,2,FALSE)</f>
        <v/>
      </c>
    </row>
    <row r="7611">
      <c r="A7611" t="inlineStr">
        <is>
          <t xml:space="preserve">system </t>
        </is>
      </c>
      <c r="B7611">
        <f>VLOOKUP(2070,Requirements!A2:B2967,2,FALSE)</f>
        <v/>
      </c>
    </row>
    <row r="7612">
      <c r="A7612" t="inlineStr">
        <is>
          <t xml:space="preserve">system </t>
        </is>
      </c>
      <c r="B7612">
        <f>VLOOKUP(2257,Requirements!A2:B2967,2,FALSE)</f>
        <v/>
      </c>
    </row>
    <row r="7613">
      <c r="A7613" t="inlineStr">
        <is>
          <t xml:space="preserve">system </t>
        </is>
      </c>
      <c r="B7613">
        <f>VLOOKUP(2269,Requirements!A2:B2967,2,FALSE)</f>
        <v/>
      </c>
    </row>
    <row r="7614">
      <c r="A7614" t="inlineStr">
        <is>
          <t xml:space="preserve">system </t>
        </is>
      </c>
      <c r="B7614">
        <f>VLOOKUP(2286,Requirements!A2:B2967,2,FALSE)</f>
        <v/>
      </c>
    </row>
    <row r="7615">
      <c r="A7615" t="inlineStr">
        <is>
          <t xml:space="preserve">system </t>
        </is>
      </c>
      <c r="B7615">
        <f>VLOOKUP(2394,Requirements!A2:B2967,2,FALSE)</f>
        <v/>
      </c>
    </row>
    <row r="7616">
      <c r="A7616" t="inlineStr">
        <is>
          <t xml:space="preserve">system </t>
        </is>
      </c>
      <c r="B7616">
        <f>VLOOKUP(2445,Requirements!A2:B2967,2,FALSE)</f>
        <v/>
      </c>
    </row>
    <row r="7617">
      <c r="A7617" t="inlineStr">
        <is>
          <t xml:space="preserve">system </t>
        </is>
      </c>
      <c r="B7617">
        <f>VLOOKUP(2510,Requirements!A2:B2967,2,FALSE)</f>
        <v/>
      </c>
    </row>
    <row r="7618">
      <c r="A7618" t="inlineStr">
        <is>
          <t xml:space="preserve">system </t>
        </is>
      </c>
      <c r="B7618">
        <f>VLOOKUP(2539,Requirements!A2:B2967,2,FALSE)</f>
        <v/>
      </c>
    </row>
    <row r="7619">
      <c r="A7619" t="inlineStr">
        <is>
          <t xml:space="preserve">system </t>
        </is>
      </c>
      <c r="B7619">
        <f>VLOOKUP(2590,Requirements!A2:B2967,2,FALSE)</f>
        <v/>
      </c>
    </row>
    <row r="7620">
      <c r="A7620" t="inlineStr">
        <is>
          <t xml:space="preserve">system </t>
        </is>
      </c>
      <c r="B7620">
        <f>VLOOKUP(2591,Requirements!A2:B2967,2,FALSE)</f>
        <v/>
      </c>
    </row>
    <row r="7621">
      <c r="A7621" t="inlineStr">
        <is>
          <t xml:space="preserve">system </t>
        </is>
      </c>
      <c r="B7621">
        <f>VLOOKUP(2593,Requirements!A2:B2967,2,FALSE)</f>
        <v/>
      </c>
    </row>
    <row r="7622">
      <c r="A7622" t="inlineStr">
        <is>
          <t xml:space="preserve">system </t>
        </is>
      </c>
      <c r="B7622">
        <f>VLOOKUP(2645,Requirements!A2:B2967,2,FALSE)</f>
        <v/>
      </c>
    </row>
    <row r="7623">
      <c r="A7623" t="inlineStr">
        <is>
          <t xml:space="preserve">system </t>
        </is>
      </c>
      <c r="B7623">
        <f>VLOOKUP(2672,Requirements!A2:B2967,2,FALSE)</f>
        <v/>
      </c>
    </row>
    <row r="7624">
      <c r="A7624" t="inlineStr">
        <is>
          <t xml:space="preserve">system </t>
        </is>
      </c>
      <c r="B7624">
        <f>VLOOKUP(2681,Requirements!A2:B2967,2,FALSE)</f>
        <v/>
      </c>
    </row>
    <row r="7625">
      <c r="A7625" t="inlineStr">
        <is>
          <t xml:space="preserve">system </t>
        </is>
      </c>
      <c r="B7625">
        <f>VLOOKUP(2703,Requirements!A2:B2967,2,FALSE)</f>
        <v/>
      </c>
    </row>
    <row r="7626">
      <c r="A7626" t="inlineStr">
        <is>
          <t xml:space="preserve">system </t>
        </is>
      </c>
      <c r="B7626">
        <f>VLOOKUP(2734,Requirements!A2:B2967,2,FALSE)</f>
        <v/>
      </c>
    </row>
    <row r="7627">
      <c r="A7627" t="inlineStr">
        <is>
          <t xml:space="preserve">system </t>
        </is>
      </c>
      <c r="B7627">
        <f>VLOOKUP(2755,Requirements!A2:B2967,2,FALSE)</f>
        <v/>
      </c>
    </row>
    <row r="7628">
      <c r="A7628" t="inlineStr">
        <is>
          <t xml:space="preserve">system </t>
        </is>
      </c>
      <c r="B7628">
        <f>VLOOKUP(2771,Requirements!A2:B2967,2,FALSE)</f>
        <v/>
      </c>
    </row>
    <row r="7629">
      <c r="A7629" t="inlineStr">
        <is>
          <t xml:space="preserve">system </t>
        </is>
      </c>
      <c r="B7629">
        <f>VLOOKUP(2795,Requirements!A2:B2967,2,FALSE)</f>
        <v/>
      </c>
    </row>
    <row r="7630">
      <c r="A7630" t="inlineStr">
        <is>
          <t xml:space="preserve">system </t>
        </is>
      </c>
      <c r="B7630">
        <f>VLOOKUP(2835,Requirements!A2:B2967,2,FALSE)</f>
        <v/>
      </c>
    </row>
    <row r="7631">
      <c r="A7631" t="inlineStr">
        <is>
          <t xml:space="preserve">system </t>
        </is>
      </c>
      <c r="B7631">
        <f>VLOOKUP(2887,Requirements!A2:B2967,2,FALSE)</f>
        <v/>
      </c>
    </row>
    <row r="7632">
      <c r="A7632" t="inlineStr">
        <is>
          <t xml:space="preserve">system </t>
        </is>
      </c>
      <c r="B7632">
        <f>VLOOKUP(2910,Requirements!A2:B2967,2,FALSE)</f>
        <v/>
      </c>
    </row>
    <row r="7633">
      <c r="A7633" t="inlineStr">
        <is>
          <t xml:space="preserve">system </t>
        </is>
      </c>
      <c r="B7633">
        <f>VLOOKUP(3194,Requirements!A2:B2967,2,FALSE)</f>
        <v/>
      </c>
    </row>
    <row r="7634">
      <c r="A7634" t="inlineStr">
        <is>
          <t xml:space="preserve">system </t>
        </is>
      </c>
      <c r="B7634">
        <f>VLOOKUP(3262,Requirements!A2:B2967,2,FALSE)</f>
        <v/>
      </c>
    </row>
    <row r="7635">
      <c r="A7635" t="inlineStr">
        <is>
          <t xml:space="preserve">need </t>
        </is>
      </c>
      <c r="B7635">
        <f>VLOOKUP(96,Requirements!A2:B2967,2,FALSE)</f>
        <v/>
      </c>
    </row>
    <row r="7636">
      <c r="A7636" t="inlineStr">
        <is>
          <t xml:space="preserve">need </t>
        </is>
      </c>
      <c r="B7636">
        <f>VLOOKUP(136,Requirements!A2:B2967,2,FALSE)</f>
        <v/>
      </c>
    </row>
    <row r="7637">
      <c r="A7637" t="inlineStr">
        <is>
          <t xml:space="preserve">need </t>
        </is>
      </c>
      <c r="B7637">
        <f>VLOOKUP(143,Requirements!A2:B2967,2,FALSE)</f>
        <v/>
      </c>
    </row>
    <row r="7638">
      <c r="A7638" t="inlineStr">
        <is>
          <t xml:space="preserve">need </t>
        </is>
      </c>
      <c r="B7638">
        <f>VLOOKUP(152,Requirements!A2:B2967,2,FALSE)</f>
        <v/>
      </c>
    </row>
    <row r="7639">
      <c r="A7639" t="inlineStr">
        <is>
          <t xml:space="preserve">need </t>
        </is>
      </c>
      <c r="B7639">
        <f>VLOOKUP(170,Requirements!A2:B2967,2,FALSE)</f>
        <v/>
      </c>
    </row>
    <row r="7640">
      <c r="A7640" t="inlineStr">
        <is>
          <t xml:space="preserve">need </t>
        </is>
      </c>
      <c r="B7640">
        <f>VLOOKUP(177,Requirements!A2:B2967,2,FALSE)</f>
        <v/>
      </c>
    </row>
    <row r="7641">
      <c r="A7641" t="inlineStr">
        <is>
          <t xml:space="preserve">need </t>
        </is>
      </c>
      <c r="B7641">
        <f>VLOOKUP(180,Requirements!A2:B2967,2,FALSE)</f>
        <v/>
      </c>
    </row>
    <row r="7642">
      <c r="A7642" t="inlineStr">
        <is>
          <t xml:space="preserve">need </t>
        </is>
      </c>
      <c r="B7642">
        <f>VLOOKUP(785,Requirements!A2:B2967,2,FALSE)</f>
        <v/>
      </c>
    </row>
    <row r="7643">
      <c r="A7643" t="inlineStr">
        <is>
          <t xml:space="preserve">need </t>
        </is>
      </c>
      <c r="B7643">
        <f>VLOOKUP(847,Requirements!A2:B2967,2,FALSE)</f>
        <v/>
      </c>
    </row>
    <row r="7644">
      <c r="A7644" t="inlineStr">
        <is>
          <t xml:space="preserve">need </t>
        </is>
      </c>
      <c r="B7644">
        <f>VLOOKUP(1415,Requirements!A2:B2967,2,FALSE)</f>
        <v/>
      </c>
    </row>
    <row r="7645">
      <c r="A7645" t="inlineStr">
        <is>
          <t xml:space="preserve">need </t>
        </is>
      </c>
      <c r="B7645">
        <f>VLOOKUP(1503,Requirements!A2:B2967,2,FALSE)</f>
        <v/>
      </c>
    </row>
    <row r="7646">
      <c r="A7646" t="inlineStr">
        <is>
          <t xml:space="preserve">need </t>
        </is>
      </c>
      <c r="B7646">
        <f>VLOOKUP(1551,Requirements!A2:B2967,2,FALSE)</f>
        <v/>
      </c>
    </row>
    <row r="7647">
      <c r="A7647" t="inlineStr">
        <is>
          <t xml:space="preserve">need </t>
        </is>
      </c>
      <c r="B7647">
        <f>VLOOKUP(1616,Requirements!A2:B2967,2,FALSE)</f>
        <v/>
      </c>
    </row>
    <row r="7648">
      <c r="A7648" t="inlineStr">
        <is>
          <t xml:space="preserve">need </t>
        </is>
      </c>
      <c r="B7648">
        <f>VLOOKUP(1860,Requirements!A2:B2967,2,FALSE)</f>
        <v/>
      </c>
    </row>
    <row r="7649">
      <c r="A7649" t="inlineStr">
        <is>
          <t xml:space="preserve">need </t>
        </is>
      </c>
      <c r="B7649">
        <f>VLOOKUP(1924,Requirements!A2:B2967,2,FALSE)</f>
        <v/>
      </c>
    </row>
    <row r="7650">
      <c r="A7650" t="inlineStr">
        <is>
          <t xml:space="preserve">need </t>
        </is>
      </c>
      <c r="B7650">
        <f>VLOOKUP(2155,Requirements!A2:B2967,2,FALSE)</f>
        <v/>
      </c>
    </row>
    <row r="7651">
      <c r="A7651" t="inlineStr">
        <is>
          <t xml:space="preserve">need </t>
        </is>
      </c>
      <c r="B7651">
        <f>VLOOKUP(2597,Requirements!A2:B2967,2,FALSE)</f>
        <v/>
      </c>
    </row>
    <row r="7652">
      <c r="A7652" t="inlineStr">
        <is>
          <t xml:space="preserve">need </t>
        </is>
      </c>
      <c r="B7652">
        <f>VLOOKUP(2881,Requirements!A2:B2967,2,FALSE)</f>
        <v/>
      </c>
    </row>
    <row r="7653">
      <c r="A7653" t="inlineStr">
        <is>
          <t xml:space="preserve">need </t>
        </is>
      </c>
      <c r="B7653">
        <f>VLOOKUP(2883,Requirements!A2:B2967,2,FALSE)</f>
        <v/>
      </c>
    </row>
    <row r="7654">
      <c r="A7654" t="inlineStr">
        <is>
          <t xml:space="preserve">need </t>
        </is>
      </c>
      <c r="B7654">
        <f>VLOOKUP(2924,Requirements!A2:B2967,2,FALSE)</f>
        <v/>
      </c>
    </row>
    <row r="7655">
      <c r="A7655" t="inlineStr">
        <is>
          <t xml:space="preserve">need </t>
        </is>
      </c>
      <c r="B7655">
        <f>VLOOKUP(2946,Requirements!A2:B2967,2,FALSE)</f>
        <v/>
      </c>
    </row>
    <row r="7656">
      <c r="A7656" t="inlineStr">
        <is>
          <t xml:space="preserve">need </t>
        </is>
      </c>
      <c r="B7656">
        <f>VLOOKUP(3228,Requirements!A2:B2967,2,FALSE)</f>
        <v/>
      </c>
    </row>
    <row r="7657">
      <c r="A7657" t="inlineStr">
        <is>
          <t xml:space="preserve">possible </t>
        </is>
      </c>
      <c r="B7657">
        <f>VLOOKUP(99,Requirements!A2:B2967,2,FALSE)</f>
        <v/>
      </c>
    </row>
    <row r="7658">
      <c r="A7658" t="inlineStr">
        <is>
          <t xml:space="preserve">possible </t>
        </is>
      </c>
      <c r="B7658">
        <f>VLOOKUP(138,Requirements!A2:B2967,2,FALSE)</f>
        <v/>
      </c>
    </row>
    <row r="7659">
      <c r="A7659" t="inlineStr">
        <is>
          <t xml:space="preserve">possible </t>
        </is>
      </c>
      <c r="B7659">
        <f>VLOOKUP(232,Requirements!A2:B2967,2,FALSE)</f>
        <v/>
      </c>
    </row>
    <row r="7660">
      <c r="A7660" t="inlineStr">
        <is>
          <t xml:space="preserve">possible </t>
        </is>
      </c>
      <c r="B7660">
        <f>VLOOKUP(494,Requirements!A2:B2967,2,FALSE)</f>
        <v/>
      </c>
    </row>
    <row r="7661">
      <c r="A7661" t="inlineStr">
        <is>
          <t xml:space="preserve">possible </t>
        </is>
      </c>
      <c r="B7661">
        <f>VLOOKUP(1211,Requirements!A2:B2967,2,FALSE)</f>
        <v/>
      </c>
    </row>
    <row r="7662">
      <c r="A7662" t="inlineStr">
        <is>
          <t xml:space="preserve">possible </t>
        </is>
      </c>
      <c r="B7662">
        <f>VLOOKUP(1297,Requirements!A2:B2967,2,FALSE)</f>
        <v/>
      </c>
    </row>
    <row r="7663">
      <c r="A7663" t="inlineStr">
        <is>
          <t xml:space="preserve">possible </t>
        </is>
      </c>
      <c r="B7663">
        <f>VLOOKUP(1640,Requirements!A2:B2967,2,FALSE)</f>
        <v/>
      </c>
    </row>
    <row r="7664">
      <c r="A7664" t="inlineStr">
        <is>
          <t xml:space="preserve">possible </t>
        </is>
      </c>
      <c r="B7664">
        <f>VLOOKUP(1958,Requirements!A2:B2967,2,FALSE)</f>
        <v/>
      </c>
    </row>
    <row r="7665">
      <c r="A7665" t="inlineStr">
        <is>
          <t xml:space="preserve">possible </t>
        </is>
      </c>
      <c r="B7665">
        <f>VLOOKUP(2226,Requirements!A2:B2967,2,FALSE)</f>
        <v/>
      </c>
    </row>
    <row r="7666">
      <c r="A7666" t="inlineStr">
        <is>
          <t xml:space="preserve">possible </t>
        </is>
      </c>
      <c r="B7666">
        <f>VLOOKUP(2279,Requirements!A2:B2967,2,FALSE)</f>
        <v/>
      </c>
    </row>
    <row r="7667">
      <c r="A7667" t="inlineStr">
        <is>
          <t xml:space="preserve">possible </t>
        </is>
      </c>
      <c r="B7667">
        <f>VLOOKUP(2287,Requirements!A2:B2967,2,FALSE)</f>
        <v/>
      </c>
    </row>
    <row r="7668">
      <c r="A7668" t="inlineStr">
        <is>
          <t xml:space="preserve">possible </t>
        </is>
      </c>
      <c r="B7668">
        <f>VLOOKUP(2363,Requirements!A2:B2967,2,FALSE)</f>
        <v/>
      </c>
    </row>
    <row r="7669">
      <c r="A7669" t="inlineStr">
        <is>
          <t xml:space="preserve">possible </t>
        </is>
      </c>
      <c r="B7669">
        <f>VLOOKUP(2365,Requirements!A2:B2967,2,FALSE)</f>
        <v/>
      </c>
    </row>
    <row r="7670">
      <c r="A7670" t="inlineStr">
        <is>
          <t xml:space="preserve">possible </t>
        </is>
      </c>
      <c r="B7670">
        <f>VLOOKUP(2467,Requirements!A2:B2967,2,FALSE)</f>
        <v/>
      </c>
    </row>
    <row r="7671">
      <c r="A7671" t="inlineStr">
        <is>
          <t xml:space="preserve">possible </t>
        </is>
      </c>
      <c r="B7671">
        <f>VLOOKUP(2521,Requirements!A2:B2967,2,FALSE)</f>
        <v/>
      </c>
    </row>
    <row r="7672">
      <c r="A7672" t="inlineStr">
        <is>
          <t xml:space="preserve">possible </t>
        </is>
      </c>
      <c r="B7672">
        <f>VLOOKUP(2929,Requirements!A2:B2967,2,FALSE)</f>
        <v/>
      </c>
    </row>
    <row r="7673">
      <c r="A7673" t="inlineStr">
        <is>
          <t xml:space="preserve">possible </t>
        </is>
      </c>
      <c r="B7673">
        <f>VLOOKUP(3201,Requirements!A2:B2967,2,FALSE)</f>
        <v/>
      </c>
    </row>
    <row r="7674">
      <c r="A7674" t="inlineStr">
        <is>
          <t xml:space="preserve">carbon </t>
        </is>
      </c>
      <c r="B7674">
        <f>VLOOKUP(103,Requirements!A2:B2967,2,FALSE)</f>
        <v/>
      </c>
    </row>
    <row r="7675">
      <c r="A7675" t="inlineStr">
        <is>
          <t xml:space="preserve">carbon </t>
        </is>
      </c>
      <c r="B7675">
        <f>VLOOKUP(123,Requirements!A2:B2967,2,FALSE)</f>
        <v/>
      </c>
    </row>
    <row r="7676">
      <c r="A7676" t="inlineStr">
        <is>
          <t xml:space="preserve">carbon </t>
        </is>
      </c>
      <c r="B7676">
        <f>VLOOKUP(229,Requirements!A2:B2967,2,FALSE)</f>
        <v/>
      </c>
    </row>
    <row r="7677">
      <c r="A7677" t="inlineStr">
        <is>
          <t xml:space="preserve">carbon </t>
        </is>
      </c>
      <c r="B7677">
        <f>VLOOKUP(306,Requirements!A2:B2967,2,FALSE)</f>
        <v/>
      </c>
    </row>
    <row r="7678">
      <c r="A7678" t="inlineStr">
        <is>
          <t xml:space="preserve">carbon </t>
        </is>
      </c>
      <c r="B7678">
        <f>VLOOKUP(416,Requirements!A2:B2967,2,FALSE)</f>
        <v/>
      </c>
    </row>
    <row r="7679">
      <c r="A7679" t="inlineStr">
        <is>
          <t xml:space="preserve">carbon </t>
        </is>
      </c>
      <c r="B7679">
        <f>VLOOKUP(442,Requirements!A2:B2967,2,FALSE)</f>
        <v/>
      </c>
    </row>
    <row r="7680">
      <c r="A7680" t="inlineStr">
        <is>
          <t xml:space="preserve">carbon </t>
        </is>
      </c>
      <c r="B7680">
        <f>VLOOKUP(554,Requirements!A2:B2967,2,FALSE)</f>
        <v/>
      </c>
    </row>
    <row r="7681">
      <c r="A7681" t="inlineStr">
        <is>
          <t xml:space="preserve">carbon </t>
        </is>
      </c>
      <c r="B7681">
        <f>VLOOKUP(661,Requirements!A2:B2967,2,FALSE)</f>
        <v/>
      </c>
    </row>
    <row r="7682">
      <c r="A7682" t="inlineStr">
        <is>
          <t xml:space="preserve">carbon </t>
        </is>
      </c>
      <c r="B7682">
        <f>VLOOKUP(675,Requirements!A2:B2967,2,FALSE)</f>
        <v/>
      </c>
    </row>
    <row r="7683">
      <c r="A7683" t="inlineStr">
        <is>
          <t xml:space="preserve">carbon </t>
        </is>
      </c>
      <c r="B7683">
        <f>VLOOKUP(1044,Requirements!A2:B2967,2,FALSE)</f>
        <v/>
      </c>
    </row>
    <row r="7684">
      <c r="A7684" t="inlineStr">
        <is>
          <t xml:space="preserve">carbon </t>
        </is>
      </c>
      <c r="B7684">
        <f>VLOOKUP(1046,Requirements!A2:B2967,2,FALSE)</f>
        <v/>
      </c>
    </row>
    <row r="7685">
      <c r="A7685" t="inlineStr">
        <is>
          <t xml:space="preserve">carbon </t>
        </is>
      </c>
      <c r="B7685">
        <f>VLOOKUP(1106,Requirements!A2:B2967,2,FALSE)</f>
        <v/>
      </c>
    </row>
    <row r="7686">
      <c r="A7686" t="inlineStr">
        <is>
          <t xml:space="preserve">carbon </t>
        </is>
      </c>
      <c r="B7686">
        <f>VLOOKUP(1126,Requirements!A2:B2967,2,FALSE)</f>
        <v/>
      </c>
    </row>
    <row r="7687">
      <c r="A7687" t="inlineStr">
        <is>
          <t xml:space="preserve">carbon </t>
        </is>
      </c>
      <c r="B7687">
        <f>VLOOKUP(1140,Requirements!A2:B2967,2,FALSE)</f>
        <v/>
      </c>
    </row>
    <row r="7688">
      <c r="A7688" t="inlineStr">
        <is>
          <t xml:space="preserve">carbon </t>
        </is>
      </c>
      <c r="B7688">
        <f>VLOOKUP(2015,Requirements!A2:B2967,2,FALSE)</f>
        <v/>
      </c>
    </row>
    <row r="7689">
      <c r="A7689" t="inlineStr">
        <is>
          <t xml:space="preserve">carbon </t>
        </is>
      </c>
      <c r="B7689">
        <f>VLOOKUP(2573,Requirements!A2:B2967,2,FALSE)</f>
        <v/>
      </c>
    </row>
    <row r="7690">
      <c r="A7690" t="inlineStr">
        <is>
          <t xml:space="preserve">carbon </t>
        </is>
      </c>
      <c r="B7690">
        <f>VLOOKUP(2641,Requirements!A2:B2967,2,FALSE)</f>
        <v/>
      </c>
    </row>
    <row r="7691">
      <c r="A7691" t="inlineStr">
        <is>
          <t xml:space="preserve">carbon </t>
        </is>
      </c>
      <c r="B7691">
        <f>VLOOKUP(2779,Requirements!A2:B2967,2,FALSE)</f>
        <v/>
      </c>
    </row>
    <row r="7692">
      <c r="A7692" t="inlineStr">
        <is>
          <t xml:space="preserve">carbon </t>
        </is>
      </c>
      <c r="B7692">
        <f>VLOOKUP(3108,Requirements!A2:B2967,2,FALSE)</f>
        <v/>
      </c>
    </row>
    <row r="7693">
      <c r="A7693" t="inlineStr">
        <is>
          <t xml:space="preserve">close </t>
        </is>
      </c>
      <c r="B7693">
        <f>VLOOKUP(106,Requirements!A2:B2967,2,FALSE)</f>
        <v/>
      </c>
    </row>
    <row r="7694">
      <c r="A7694" t="inlineStr">
        <is>
          <t xml:space="preserve">close </t>
        </is>
      </c>
      <c r="B7694">
        <f>VLOOKUP(144,Requirements!A2:B2967,2,FALSE)</f>
        <v/>
      </c>
    </row>
    <row r="7695">
      <c r="A7695" t="inlineStr">
        <is>
          <t xml:space="preserve">close </t>
        </is>
      </c>
      <c r="B7695">
        <f>VLOOKUP(251,Requirements!A2:B2967,2,FALSE)</f>
        <v/>
      </c>
    </row>
    <row r="7696">
      <c r="A7696" t="inlineStr">
        <is>
          <t xml:space="preserve">close </t>
        </is>
      </c>
      <c r="B7696">
        <f>VLOOKUP(255,Requirements!A2:B2967,2,FALSE)</f>
        <v/>
      </c>
    </row>
    <row r="7697">
      <c r="A7697" t="inlineStr">
        <is>
          <t xml:space="preserve">close </t>
        </is>
      </c>
      <c r="B7697">
        <f>VLOOKUP(271,Requirements!A2:B2967,2,FALSE)</f>
        <v/>
      </c>
    </row>
    <row r="7698">
      <c r="A7698" t="inlineStr">
        <is>
          <t xml:space="preserve">close </t>
        </is>
      </c>
      <c r="B7698">
        <f>VLOOKUP(304,Requirements!A2:B2967,2,FALSE)</f>
        <v/>
      </c>
    </row>
    <row r="7699">
      <c r="A7699" t="inlineStr">
        <is>
          <t xml:space="preserve">close </t>
        </is>
      </c>
      <c r="B7699">
        <f>VLOOKUP(463,Requirements!A2:B2967,2,FALSE)</f>
        <v/>
      </c>
    </row>
    <row r="7700">
      <c r="A7700" t="inlineStr">
        <is>
          <t xml:space="preserve">close </t>
        </is>
      </c>
      <c r="B7700">
        <f>VLOOKUP(498,Requirements!A2:B2967,2,FALSE)</f>
        <v/>
      </c>
    </row>
    <row r="7701">
      <c r="A7701" t="inlineStr">
        <is>
          <t xml:space="preserve">close </t>
        </is>
      </c>
      <c r="B7701">
        <f>VLOOKUP(682,Requirements!A2:B2967,2,FALSE)</f>
        <v/>
      </c>
    </row>
    <row r="7702">
      <c r="A7702" t="inlineStr">
        <is>
          <t xml:space="preserve">close </t>
        </is>
      </c>
      <c r="B7702">
        <f>VLOOKUP(935,Requirements!A2:B2967,2,FALSE)</f>
        <v/>
      </c>
    </row>
    <row r="7703">
      <c r="A7703" t="inlineStr">
        <is>
          <t xml:space="preserve">close </t>
        </is>
      </c>
      <c r="B7703">
        <f>VLOOKUP(943,Requirements!A2:B2967,2,FALSE)</f>
        <v/>
      </c>
    </row>
    <row r="7704">
      <c r="A7704" t="inlineStr">
        <is>
          <t xml:space="preserve">close </t>
        </is>
      </c>
      <c r="B7704">
        <f>VLOOKUP(1006,Requirements!A2:B2967,2,FALSE)</f>
        <v/>
      </c>
    </row>
    <row r="7705">
      <c r="A7705" t="inlineStr">
        <is>
          <t xml:space="preserve">close </t>
        </is>
      </c>
      <c r="B7705">
        <f>VLOOKUP(1137,Requirements!A2:B2967,2,FALSE)</f>
        <v/>
      </c>
    </row>
    <row r="7706">
      <c r="A7706" t="inlineStr">
        <is>
          <t xml:space="preserve">close </t>
        </is>
      </c>
      <c r="B7706">
        <f>VLOOKUP(1361,Requirements!A2:B2967,2,FALSE)</f>
        <v/>
      </c>
    </row>
    <row r="7707">
      <c r="A7707" t="inlineStr">
        <is>
          <t xml:space="preserve">close </t>
        </is>
      </c>
      <c r="B7707">
        <f>VLOOKUP(2232,Requirements!A2:B2967,2,FALSE)</f>
        <v/>
      </c>
    </row>
    <row r="7708">
      <c r="A7708" t="inlineStr">
        <is>
          <t xml:space="preserve">close </t>
        </is>
      </c>
      <c r="B7708">
        <f>VLOOKUP(2424,Requirements!A2:B2967,2,FALSE)</f>
        <v/>
      </c>
    </row>
    <row r="7709">
      <c r="A7709" t="inlineStr">
        <is>
          <t xml:space="preserve">close </t>
        </is>
      </c>
      <c r="B7709">
        <f>VLOOKUP(2465,Requirements!A2:B2967,2,FALSE)</f>
        <v/>
      </c>
    </row>
    <row r="7710">
      <c r="A7710" t="inlineStr">
        <is>
          <t xml:space="preserve">close </t>
        </is>
      </c>
      <c r="B7710">
        <f>VLOOKUP(2633,Requirements!A2:B2967,2,FALSE)</f>
        <v/>
      </c>
    </row>
    <row r="7711">
      <c r="A7711" t="inlineStr">
        <is>
          <t xml:space="preserve">close </t>
        </is>
      </c>
      <c r="B7711">
        <f>VLOOKUP(2954,Requirements!A2:B2967,2,FALSE)</f>
        <v/>
      </c>
    </row>
    <row r="7712">
      <c r="A7712" t="inlineStr">
        <is>
          <t xml:space="preserve">close </t>
        </is>
      </c>
      <c r="B7712">
        <f>VLOOKUP(2972,Requirements!A2:B2967,2,FALSE)</f>
        <v/>
      </c>
    </row>
    <row r="7713">
      <c r="A7713" t="inlineStr">
        <is>
          <t xml:space="preserve">close </t>
        </is>
      </c>
      <c r="B7713">
        <f>VLOOKUP(3146,Requirements!A2:B2967,2,FALSE)</f>
        <v/>
      </c>
    </row>
    <row r="7714">
      <c r="A7714" t="inlineStr">
        <is>
          <t xml:space="preserve">show </t>
        </is>
      </c>
      <c r="B7714">
        <f>VLOOKUP(110,Requirements!A2:B2967,2,FALSE)</f>
        <v/>
      </c>
    </row>
    <row r="7715">
      <c r="A7715" t="inlineStr">
        <is>
          <t xml:space="preserve">show </t>
        </is>
      </c>
      <c r="B7715">
        <f>VLOOKUP(480,Requirements!A2:B2967,2,FALSE)</f>
        <v/>
      </c>
    </row>
    <row r="7716">
      <c r="A7716" t="inlineStr">
        <is>
          <t xml:space="preserve">show </t>
        </is>
      </c>
      <c r="B7716">
        <f>VLOOKUP(773,Requirements!A2:B2967,2,FALSE)</f>
        <v/>
      </c>
    </row>
    <row r="7717">
      <c r="A7717" t="inlineStr">
        <is>
          <t xml:space="preserve">show </t>
        </is>
      </c>
      <c r="B7717">
        <f>VLOOKUP(865,Requirements!A2:B2967,2,FALSE)</f>
        <v/>
      </c>
    </row>
    <row r="7718">
      <c r="A7718" t="inlineStr">
        <is>
          <t xml:space="preserve">show </t>
        </is>
      </c>
      <c r="B7718">
        <f>VLOOKUP(932,Requirements!A2:B2967,2,FALSE)</f>
        <v/>
      </c>
    </row>
    <row r="7719">
      <c r="A7719" t="inlineStr">
        <is>
          <t xml:space="preserve">show </t>
        </is>
      </c>
      <c r="B7719">
        <f>VLOOKUP(971,Requirements!A2:B2967,2,FALSE)</f>
        <v/>
      </c>
    </row>
    <row r="7720">
      <c r="A7720" t="inlineStr">
        <is>
          <t xml:space="preserve">show </t>
        </is>
      </c>
      <c r="B7720">
        <f>VLOOKUP(1045,Requirements!A2:B2967,2,FALSE)</f>
        <v/>
      </c>
    </row>
    <row r="7721">
      <c r="A7721" t="inlineStr">
        <is>
          <t xml:space="preserve">show </t>
        </is>
      </c>
      <c r="B7721">
        <f>VLOOKUP(1105,Requirements!A2:B2967,2,FALSE)</f>
        <v/>
      </c>
    </row>
    <row r="7722">
      <c r="A7722" t="inlineStr">
        <is>
          <t xml:space="preserve">show </t>
        </is>
      </c>
      <c r="B7722">
        <f>VLOOKUP(1350,Requirements!A2:B2967,2,FALSE)</f>
        <v/>
      </c>
    </row>
    <row r="7723">
      <c r="A7723" t="inlineStr">
        <is>
          <t xml:space="preserve">show </t>
        </is>
      </c>
      <c r="B7723">
        <f>VLOOKUP(1390,Requirements!A2:B2967,2,FALSE)</f>
        <v/>
      </c>
    </row>
    <row r="7724">
      <c r="A7724" t="inlineStr">
        <is>
          <t xml:space="preserve">show </t>
        </is>
      </c>
      <c r="B7724">
        <f>VLOOKUP(1570,Requirements!A2:B2967,2,FALSE)</f>
        <v/>
      </c>
    </row>
    <row r="7725">
      <c r="A7725" t="inlineStr">
        <is>
          <t xml:space="preserve">show </t>
        </is>
      </c>
      <c r="B7725">
        <f>VLOOKUP(1872,Requirements!A2:B2967,2,FALSE)</f>
        <v/>
      </c>
    </row>
    <row r="7726">
      <c r="A7726" t="inlineStr">
        <is>
          <t xml:space="preserve">show </t>
        </is>
      </c>
      <c r="B7726">
        <f>VLOOKUP(2148,Requirements!A2:B2967,2,FALSE)</f>
        <v/>
      </c>
    </row>
    <row r="7727">
      <c r="A7727" t="inlineStr">
        <is>
          <t xml:space="preserve">show </t>
        </is>
      </c>
      <c r="B7727">
        <f>VLOOKUP(2326,Requirements!A2:B2967,2,FALSE)</f>
        <v/>
      </c>
    </row>
    <row r="7728">
      <c r="A7728" t="inlineStr">
        <is>
          <t xml:space="preserve">show </t>
        </is>
      </c>
      <c r="B7728">
        <f>VLOOKUP(2408,Requirements!A2:B2967,2,FALSE)</f>
        <v/>
      </c>
    </row>
    <row r="7729">
      <c r="A7729" t="inlineStr">
        <is>
          <t xml:space="preserve">show </t>
        </is>
      </c>
      <c r="B7729">
        <f>VLOOKUP(2433,Requirements!A2:B2967,2,FALSE)</f>
        <v/>
      </c>
    </row>
    <row r="7730">
      <c r="A7730" t="inlineStr">
        <is>
          <t xml:space="preserve">show </t>
        </is>
      </c>
      <c r="B7730">
        <f>VLOOKUP(2556,Requirements!A2:B2967,2,FALSE)</f>
        <v/>
      </c>
    </row>
    <row r="7731">
      <c r="A7731" t="inlineStr">
        <is>
          <t xml:space="preserve">show </t>
        </is>
      </c>
      <c r="B7731">
        <f>VLOOKUP(2699,Requirements!A2:B2967,2,FALSE)</f>
        <v/>
      </c>
    </row>
    <row r="7732">
      <c r="A7732" t="inlineStr">
        <is>
          <t xml:space="preserve">show </t>
        </is>
      </c>
      <c r="B7732">
        <f>VLOOKUP(2710,Requirements!A2:B2967,2,FALSE)</f>
        <v/>
      </c>
    </row>
    <row r="7733">
      <c r="A7733" t="inlineStr">
        <is>
          <t xml:space="preserve">show </t>
        </is>
      </c>
      <c r="B7733">
        <f>VLOOKUP(3250,Requirements!A2:B2967,2,FALSE)</f>
        <v/>
      </c>
    </row>
    <row r="7734">
      <c r="A7734" t="inlineStr">
        <is>
          <t xml:space="preserve">lover </t>
        </is>
      </c>
      <c r="B7734">
        <f>VLOOKUP(112,Requirements!A2:B2967,2,FALSE)</f>
        <v/>
      </c>
    </row>
    <row r="7735">
      <c r="A7735" t="inlineStr">
        <is>
          <t xml:space="preserve">lover </t>
        </is>
      </c>
      <c r="B7735">
        <f>VLOOKUP(376,Requirements!A2:B2967,2,FALSE)</f>
        <v/>
      </c>
    </row>
    <row r="7736">
      <c r="A7736" t="inlineStr">
        <is>
          <t xml:space="preserve">lover </t>
        </is>
      </c>
      <c r="B7736">
        <f>VLOOKUP(1909,Requirements!A2:B2967,2,FALSE)</f>
        <v/>
      </c>
    </row>
    <row r="7737">
      <c r="A7737" t="inlineStr">
        <is>
          <t xml:space="preserve">lover </t>
        </is>
      </c>
      <c r="B7737">
        <f>VLOOKUP(1953,Requirements!A2:B2967,2,FALSE)</f>
        <v/>
      </c>
    </row>
    <row r="7738">
      <c r="A7738" t="inlineStr">
        <is>
          <t xml:space="preserve">lover </t>
        </is>
      </c>
      <c r="B7738">
        <f>VLOOKUP(2007,Requirements!A2:B2967,2,FALSE)</f>
        <v/>
      </c>
    </row>
    <row r="7739">
      <c r="A7739" t="inlineStr">
        <is>
          <t xml:space="preserve">lover </t>
        </is>
      </c>
      <c r="B7739">
        <f>VLOOKUP(2257,Requirements!A2:B2967,2,FALSE)</f>
        <v/>
      </c>
    </row>
    <row r="7740">
      <c r="A7740" t="inlineStr">
        <is>
          <t xml:space="preserve">lover </t>
        </is>
      </c>
      <c r="B7740">
        <f>VLOOKUP(2935,Requirements!A2:B2967,2,FALSE)</f>
        <v/>
      </c>
    </row>
    <row r="7741">
      <c r="A7741" t="inlineStr">
        <is>
          <t xml:space="preserve">device </t>
        </is>
      </c>
      <c r="B7741">
        <f>VLOOKUP(112,Requirements!A2:B2967,2,FALSE)</f>
        <v/>
      </c>
    </row>
    <row r="7742">
      <c r="A7742" t="inlineStr">
        <is>
          <t xml:space="preserve">device </t>
        </is>
      </c>
      <c r="B7742">
        <f>VLOOKUP(115,Requirements!A2:B2967,2,FALSE)</f>
        <v/>
      </c>
    </row>
    <row r="7743">
      <c r="A7743" t="inlineStr">
        <is>
          <t xml:space="preserve">device </t>
        </is>
      </c>
      <c r="B7743">
        <f>VLOOKUP(128,Requirements!A2:B2967,2,FALSE)</f>
        <v/>
      </c>
    </row>
    <row r="7744">
      <c r="A7744" t="inlineStr">
        <is>
          <t xml:space="preserve">device </t>
        </is>
      </c>
      <c r="B7744">
        <f>VLOOKUP(132,Requirements!A2:B2967,2,FALSE)</f>
        <v/>
      </c>
    </row>
    <row r="7745">
      <c r="A7745" t="inlineStr">
        <is>
          <t xml:space="preserve">device </t>
        </is>
      </c>
      <c r="B7745">
        <f>VLOOKUP(142,Requirements!A2:B2967,2,FALSE)</f>
        <v/>
      </c>
    </row>
    <row r="7746">
      <c r="A7746" t="inlineStr">
        <is>
          <t xml:space="preserve">device </t>
        </is>
      </c>
      <c r="B7746">
        <f>VLOOKUP(198,Requirements!A2:B2967,2,FALSE)</f>
        <v/>
      </c>
    </row>
    <row r="7747">
      <c r="A7747" t="inlineStr">
        <is>
          <t xml:space="preserve">device </t>
        </is>
      </c>
      <c r="B7747">
        <f>VLOOKUP(254,Requirements!A2:B2967,2,FALSE)</f>
        <v/>
      </c>
    </row>
    <row r="7748">
      <c r="A7748" t="inlineStr">
        <is>
          <t xml:space="preserve">device </t>
        </is>
      </c>
      <c r="B7748">
        <f>VLOOKUP(350,Requirements!A2:B2967,2,FALSE)</f>
        <v/>
      </c>
    </row>
    <row r="7749">
      <c r="A7749" t="inlineStr">
        <is>
          <t xml:space="preserve">device </t>
        </is>
      </c>
      <c r="B7749">
        <f>VLOOKUP(395,Requirements!A2:B2967,2,FALSE)</f>
        <v/>
      </c>
    </row>
    <row r="7750">
      <c r="A7750" t="inlineStr">
        <is>
          <t xml:space="preserve">device </t>
        </is>
      </c>
      <c r="B7750">
        <f>VLOOKUP(782,Requirements!A2:B2967,2,FALSE)</f>
        <v/>
      </c>
    </row>
    <row r="7751">
      <c r="A7751" t="inlineStr">
        <is>
          <t xml:space="preserve">device </t>
        </is>
      </c>
      <c r="B7751">
        <f>VLOOKUP(787,Requirements!A2:B2967,2,FALSE)</f>
        <v/>
      </c>
    </row>
    <row r="7752">
      <c r="A7752" t="inlineStr">
        <is>
          <t xml:space="preserve">device </t>
        </is>
      </c>
      <c r="B7752">
        <f>VLOOKUP(789,Requirements!A2:B2967,2,FALSE)</f>
        <v/>
      </c>
    </row>
    <row r="7753">
      <c r="A7753" t="inlineStr">
        <is>
          <t xml:space="preserve">device </t>
        </is>
      </c>
      <c r="B7753">
        <f>VLOOKUP(795,Requirements!A2:B2967,2,FALSE)</f>
        <v/>
      </c>
    </row>
    <row r="7754">
      <c r="A7754" t="inlineStr">
        <is>
          <t xml:space="preserve">device </t>
        </is>
      </c>
      <c r="B7754">
        <f>VLOOKUP(818,Requirements!A2:B2967,2,FALSE)</f>
        <v/>
      </c>
    </row>
    <row r="7755">
      <c r="A7755" t="inlineStr">
        <is>
          <t xml:space="preserve">device </t>
        </is>
      </c>
      <c r="B7755">
        <f>VLOOKUP(824,Requirements!A2:B2967,2,FALSE)</f>
        <v/>
      </c>
    </row>
    <row r="7756">
      <c r="A7756" t="inlineStr">
        <is>
          <t xml:space="preserve">device </t>
        </is>
      </c>
      <c r="B7756">
        <f>VLOOKUP(845,Requirements!A2:B2967,2,FALSE)</f>
        <v/>
      </c>
    </row>
    <row r="7757">
      <c r="A7757" t="inlineStr">
        <is>
          <t xml:space="preserve">device </t>
        </is>
      </c>
      <c r="B7757">
        <f>VLOOKUP(854,Requirements!A2:B2967,2,FALSE)</f>
        <v/>
      </c>
    </row>
    <row r="7758">
      <c r="A7758" t="inlineStr">
        <is>
          <t xml:space="preserve">device </t>
        </is>
      </c>
      <c r="B7758">
        <f>VLOOKUP(862,Requirements!A2:B2967,2,FALSE)</f>
        <v/>
      </c>
    </row>
    <row r="7759">
      <c r="A7759" t="inlineStr">
        <is>
          <t xml:space="preserve">device </t>
        </is>
      </c>
      <c r="B7759">
        <f>VLOOKUP(967,Requirements!A2:B2967,2,FALSE)</f>
        <v/>
      </c>
    </row>
    <row r="7760">
      <c r="A7760" t="inlineStr">
        <is>
          <t xml:space="preserve">device </t>
        </is>
      </c>
      <c r="B7760">
        <f>VLOOKUP(969,Requirements!A2:B2967,2,FALSE)</f>
        <v/>
      </c>
    </row>
    <row r="7761">
      <c r="A7761" t="inlineStr">
        <is>
          <t xml:space="preserve">device </t>
        </is>
      </c>
      <c r="B7761">
        <f>VLOOKUP(1039,Requirements!A2:B2967,2,FALSE)</f>
        <v/>
      </c>
    </row>
    <row r="7762">
      <c r="A7762" t="inlineStr">
        <is>
          <t xml:space="preserve">device </t>
        </is>
      </c>
      <c r="B7762">
        <f>VLOOKUP(1046,Requirements!A2:B2967,2,FALSE)</f>
        <v/>
      </c>
    </row>
    <row r="7763">
      <c r="A7763" t="inlineStr">
        <is>
          <t xml:space="preserve">device </t>
        </is>
      </c>
      <c r="B7763">
        <f>VLOOKUP(1054,Requirements!A2:B2967,2,FALSE)</f>
        <v/>
      </c>
    </row>
    <row r="7764">
      <c r="A7764" t="inlineStr">
        <is>
          <t xml:space="preserve">device </t>
        </is>
      </c>
      <c r="B7764">
        <f>VLOOKUP(1069,Requirements!A2:B2967,2,FALSE)</f>
        <v/>
      </c>
    </row>
    <row r="7765">
      <c r="A7765" t="inlineStr">
        <is>
          <t xml:space="preserve">device </t>
        </is>
      </c>
      <c r="B7765">
        <f>VLOOKUP(1104,Requirements!A2:B2967,2,FALSE)</f>
        <v/>
      </c>
    </row>
    <row r="7766">
      <c r="A7766" t="inlineStr">
        <is>
          <t xml:space="preserve">device </t>
        </is>
      </c>
      <c r="B7766">
        <f>VLOOKUP(1161,Requirements!A2:B2967,2,FALSE)</f>
        <v/>
      </c>
    </row>
    <row r="7767">
      <c r="A7767" t="inlineStr">
        <is>
          <t xml:space="preserve">device </t>
        </is>
      </c>
      <c r="B7767">
        <f>VLOOKUP(1382,Requirements!A2:B2967,2,FALSE)</f>
        <v/>
      </c>
    </row>
    <row r="7768">
      <c r="A7768" t="inlineStr">
        <is>
          <t xml:space="preserve">device </t>
        </is>
      </c>
      <c r="B7768">
        <f>VLOOKUP(1384,Requirements!A2:B2967,2,FALSE)</f>
        <v/>
      </c>
    </row>
    <row r="7769">
      <c r="A7769" t="inlineStr">
        <is>
          <t xml:space="preserve">device </t>
        </is>
      </c>
      <c r="B7769">
        <f>VLOOKUP(1385,Requirements!A2:B2967,2,FALSE)</f>
        <v/>
      </c>
    </row>
    <row r="7770">
      <c r="A7770" t="inlineStr">
        <is>
          <t xml:space="preserve">device </t>
        </is>
      </c>
      <c r="B7770">
        <f>VLOOKUP(1388,Requirements!A2:B2967,2,FALSE)</f>
        <v/>
      </c>
    </row>
    <row r="7771">
      <c r="A7771" t="inlineStr">
        <is>
          <t xml:space="preserve">device </t>
        </is>
      </c>
      <c r="B7771">
        <f>VLOOKUP(1392,Requirements!A2:B2967,2,FALSE)</f>
        <v/>
      </c>
    </row>
    <row r="7772">
      <c r="A7772" t="inlineStr">
        <is>
          <t xml:space="preserve">device </t>
        </is>
      </c>
      <c r="B7772">
        <f>VLOOKUP(1394,Requirements!A2:B2967,2,FALSE)</f>
        <v/>
      </c>
    </row>
    <row r="7773">
      <c r="A7773" t="inlineStr">
        <is>
          <t xml:space="preserve">device </t>
        </is>
      </c>
      <c r="B7773">
        <f>VLOOKUP(1395,Requirements!A2:B2967,2,FALSE)</f>
        <v/>
      </c>
    </row>
    <row r="7774">
      <c r="A7774" t="inlineStr">
        <is>
          <t xml:space="preserve">device </t>
        </is>
      </c>
      <c r="B7774">
        <f>VLOOKUP(1417,Requirements!A2:B2967,2,FALSE)</f>
        <v/>
      </c>
    </row>
    <row r="7775">
      <c r="A7775" t="inlineStr">
        <is>
          <t xml:space="preserve">device </t>
        </is>
      </c>
      <c r="B7775">
        <f>VLOOKUP(1431,Requirements!A2:B2967,2,FALSE)</f>
        <v/>
      </c>
    </row>
    <row r="7776">
      <c r="A7776" t="inlineStr">
        <is>
          <t xml:space="preserve">device </t>
        </is>
      </c>
      <c r="B7776">
        <f>VLOOKUP(1525,Requirements!A2:B2967,2,FALSE)</f>
        <v/>
      </c>
    </row>
    <row r="7777">
      <c r="A7777" t="inlineStr">
        <is>
          <t xml:space="preserve">device </t>
        </is>
      </c>
      <c r="B7777">
        <f>VLOOKUP(1533,Requirements!A2:B2967,2,FALSE)</f>
        <v/>
      </c>
    </row>
    <row r="7778">
      <c r="A7778" t="inlineStr">
        <is>
          <t xml:space="preserve">device </t>
        </is>
      </c>
      <c r="B7778">
        <f>VLOOKUP(1553,Requirements!A2:B2967,2,FALSE)</f>
        <v/>
      </c>
    </row>
    <row r="7779">
      <c r="A7779" t="inlineStr">
        <is>
          <t xml:space="preserve">device </t>
        </is>
      </c>
      <c r="B7779">
        <f>VLOOKUP(1563,Requirements!A2:B2967,2,FALSE)</f>
        <v/>
      </c>
    </row>
    <row r="7780">
      <c r="A7780" t="inlineStr">
        <is>
          <t xml:space="preserve">device </t>
        </is>
      </c>
      <c r="B7780">
        <f>VLOOKUP(1570,Requirements!A2:B2967,2,FALSE)</f>
        <v/>
      </c>
    </row>
    <row r="7781">
      <c r="A7781" t="inlineStr">
        <is>
          <t xml:space="preserve">device </t>
        </is>
      </c>
      <c r="B7781">
        <f>VLOOKUP(1581,Requirements!A2:B2967,2,FALSE)</f>
        <v/>
      </c>
    </row>
    <row r="7782">
      <c r="A7782" t="inlineStr">
        <is>
          <t xml:space="preserve">device </t>
        </is>
      </c>
      <c r="B7782">
        <f>VLOOKUP(1603,Requirements!A2:B2967,2,FALSE)</f>
        <v/>
      </c>
    </row>
    <row r="7783">
      <c r="A7783" t="inlineStr">
        <is>
          <t xml:space="preserve">device </t>
        </is>
      </c>
      <c r="B7783">
        <f>VLOOKUP(1662,Requirements!A2:B2967,2,FALSE)</f>
        <v/>
      </c>
    </row>
    <row r="7784">
      <c r="A7784" t="inlineStr">
        <is>
          <t xml:space="preserve">device </t>
        </is>
      </c>
      <c r="B7784">
        <f>VLOOKUP(1670,Requirements!A2:B2967,2,FALSE)</f>
        <v/>
      </c>
    </row>
    <row r="7785">
      <c r="A7785" t="inlineStr">
        <is>
          <t xml:space="preserve">device </t>
        </is>
      </c>
      <c r="B7785">
        <f>VLOOKUP(1673,Requirements!A2:B2967,2,FALSE)</f>
        <v/>
      </c>
    </row>
    <row r="7786">
      <c r="A7786" t="inlineStr">
        <is>
          <t xml:space="preserve">device </t>
        </is>
      </c>
      <c r="B7786">
        <f>VLOOKUP(1746,Requirements!A2:B2967,2,FALSE)</f>
        <v/>
      </c>
    </row>
    <row r="7787">
      <c r="A7787" t="inlineStr">
        <is>
          <t xml:space="preserve">device </t>
        </is>
      </c>
      <c r="B7787">
        <f>VLOOKUP(1759,Requirements!A2:B2967,2,FALSE)</f>
        <v/>
      </c>
    </row>
    <row r="7788">
      <c r="A7788" t="inlineStr">
        <is>
          <t xml:space="preserve">device </t>
        </is>
      </c>
      <c r="B7788">
        <f>VLOOKUP(1762,Requirements!A2:B2967,2,FALSE)</f>
        <v/>
      </c>
    </row>
    <row r="7789">
      <c r="A7789" t="inlineStr">
        <is>
          <t xml:space="preserve">device </t>
        </is>
      </c>
      <c r="B7789">
        <f>VLOOKUP(1767,Requirements!A2:B2967,2,FALSE)</f>
        <v/>
      </c>
    </row>
    <row r="7790">
      <c r="A7790" t="inlineStr">
        <is>
          <t xml:space="preserve">device </t>
        </is>
      </c>
      <c r="B7790">
        <f>VLOOKUP(1783,Requirements!A2:B2967,2,FALSE)</f>
        <v/>
      </c>
    </row>
    <row r="7791">
      <c r="A7791" t="inlineStr">
        <is>
          <t xml:space="preserve">device </t>
        </is>
      </c>
      <c r="B7791">
        <f>VLOOKUP(1789,Requirements!A2:B2967,2,FALSE)</f>
        <v/>
      </c>
    </row>
    <row r="7792">
      <c r="A7792" t="inlineStr">
        <is>
          <t xml:space="preserve">device </t>
        </is>
      </c>
      <c r="B7792">
        <f>VLOOKUP(1861,Requirements!A2:B2967,2,FALSE)</f>
        <v/>
      </c>
    </row>
    <row r="7793">
      <c r="A7793" t="inlineStr">
        <is>
          <t xml:space="preserve">device </t>
        </is>
      </c>
      <c r="B7793">
        <f>VLOOKUP(2217,Requirements!A2:B2967,2,FALSE)</f>
        <v/>
      </c>
    </row>
    <row r="7794">
      <c r="A7794" t="inlineStr">
        <is>
          <t xml:space="preserve">device </t>
        </is>
      </c>
      <c r="B7794">
        <f>VLOOKUP(2219,Requirements!A2:B2967,2,FALSE)</f>
        <v/>
      </c>
    </row>
    <row r="7795">
      <c r="A7795" t="inlineStr">
        <is>
          <t xml:space="preserve">device </t>
        </is>
      </c>
      <c r="B7795">
        <f>VLOOKUP(2257,Requirements!A2:B2967,2,FALSE)</f>
        <v/>
      </c>
    </row>
    <row r="7796">
      <c r="A7796" t="inlineStr">
        <is>
          <t xml:space="preserve">device </t>
        </is>
      </c>
      <c r="B7796">
        <f>VLOOKUP(2594,Requirements!A2:B2967,2,FALSE)</f>
        <v/>
      </c>
    </row>
    <row r="7797">
      <c r="A7797" t="inlineStr">
        <is>
          <t xml:space="preserve">device </t>
        </is>
      </c>
      <c r="B7797">
        <f>VLOOKUP(2797,Requirements!A2:B2967,2,FALSE)</f>
        <v/>
      </c>
    </row>
    <row r="7798">
      <c r="A7798" t="inlineStr">
        <is>
          <t xml:space="preserve">device </t>
        </is>
      </c>
      <c r="B7798">
        <f>VLOOKUP(2843,Requirements!A2:B2967,2,FALSE)</f>
        <v/>
      </c>
    </row>
    <row r="7799">
      <c r="A7799" t="inlineStr">
        <is>
          <t xml:space="preserve">device </t>
        </is>
      </c>
      <c r="B7799">
        <f>VLOOKUP(2856,Requirements!A2:B2967,2,FALSE)</f>
        <v/>
      </c>
    </row>
    <row r="7800">
      <c r="A7800" t="inlineStr">
        <is>
          <t xml:space="preserve">device </t>
        </is>
      </c>
      <c r="B7800">
        <f>VLOOKUP(2860,Requirements!A2:B2967,2,FALSE)</f>
        <v/>
      </c>
    </row>
    <row r="7801">
      <c r="A7801" t="inlineStr">
        <is>
          <t xml:space="preserve">device </t>
        </is>
      </c>
      <c r="B7801">
        <f>VLOOKUP(2884,Requirements!A2:B2967,2,FALSE)</f>
        <v/>
      </c>
    </row>
    <row r="7802">
      <c r="A7802" t="inlineStr">
        <is>
          <t xml:space="preserve">device </t>
        </is>
      </c>
      <c r="B7802">
        <f>VLOOKUP(3173,Requirements!A2:B2967,2,FALSE)</f>
        <v/>
      </c>
    </row>
    <row r="7803">
      <c r="A7803" t="inlineStr">
        <is>
          <t xml:space="preserve">device </t>
        </is>
      </c>
      <c r="B7803">
        <f>VLOOKUP(3179,Requirements!A2:B2967,2,FALSE)</f>
        <v/>
      </c>
    </row>
    <row r="7804">
      <c r="A7804" t="inlineStr">
        <is>
          <t xml:space="preserve">device </t>
        </is>
      </c>
      <c r="B7804">
        <f>VLOOKUP(3189,Requirements!A2:B2967,2,FALSE)</f>
        <v/>
      </c>
    </row>
    <row r="7805">
      <c r="A7805" t="inlineStr">
        <is>
          <t xml:space="preserve">device </t>
        </is>
      </c>
      <c r="B7805">
        <f>VLOOKUP(3192,Requirements!A2:B2967,2,FALSE)</f>
        <v/>
      </c>
    </row>
    <row r="7806">
      <c r="A7806" t="inlineStr">
        <is>
          <t xml:space="preserve">device </t>
        </is>
      </c>
      <c r="B7806">
        <f>VLOOKUP(3195,Requirements!A2:B2967,2,FALSE)</f>
        <v/>
      </c>
    </row>
    <row r="7807">
      <c r="A7807" t="inlineStr">
        <is>
          <t xml:space="preserve">device </t>
        </is>
      </c>
      <c r="B7807">
        <f>VLOOKUP(3204,Requirements!A2:B2967,2,FALSE)</f>
        <v/>
      </c>
    </row>
    <row r="7808">
      <c r="A7808" t="inlineStr">
        <is>
          <t xml:space="preserve">device </t>
        </is>
      </c>
      <c r="B7808">
        <f>VLOOKUP(3210,Requirements!A2:B2967,2,FALSE)</f>
        <v/>
      </c>
    </row>
    <row r="7809">
      <c r="A7809" t="inlineStr">
        <is>
          <t xml:space="preserve">device </t>
        </is>
      </c>
      <c r="B7809">
        <f>VLOOKUP(3213,Requirements!A2:B2967,2,FALSE)</f>
        <v/>
      </c>
    </row>
    <row r="7810">
      <c r="A7810" t="inlineStr">
        <is>
          <t xml:space="preserve">device </t>
        </is>
      </c>
      <c r="B7810">
        <f>VLOOKUP(3215,Requirements!A2:B2967,2,FALSE)</f>
        <v/>
      </c>
    </row>
    <row r="7811">
      <c r="A7811" t="inlineStr">
        <is>
          <t xml:space="preserve">item </t>
        </is>
      </c>
      <c r="B7811">
        <f>VLOOKUP(115,Requirements!A2:B2967,2,FALSE)</f>
        <v/>
      </c>
    </row>
    <row r="7812">
      <c r="A7812" t="inlineStr">
        <is>
          <t xml:space="preserve">item </t>
        </is>
      </c>
      <c r="B7812">
        <f>VLOOKUP(255,Requirements!A2:B2967,2,FALSE)</f>
        <v/>
      </c>
    </row>
    <row r="7813">
      <c r="A7813" t="inlineStr">
        <is>
          <t xml:space="preserve">item </t>
        </is>
      </c>
      <c r="B7813">
        <f>VLOOKUP(296,Requirements!A2:B2967,2,FALSE)</f>
        <v/>
      </c>
    </row>
    <row r="7814">
      <c r="A7814" t="inlineStr">
        <is>
          <t xml:space="preserve">item </t>
        </is>
      </c>
      <c r="B7814">
        <f>VLOOKUP(315,Requirements!A2:B2967,2,FALSE)</f>
        <v/>
      </c>
    </row>
    <row r="7815">
      <c r="A7815" t="inlineStr">
        <is>
          <t xml:space="preserve">item </t>
        </is>
      </c>
      <c r="B7815">
        <f>VLOOKUP(373,Requirements!A2:B2967,2,FALSE)</f>
        <v/>
      </c>
    </row>
    <row r="7816">
      <c r="A7816" t="inlineStr">
        <is>
          <t xml:space="preserve">item </t>
        </is>
      </c>
      <c r="B7816">
        <f>VLOOKUP(456,Requirements!A2:B2967,2,FALSE)</f>
        <v/>
      </c>
    </row>
    <row r="7817">
      <c r="A7817" t="inlineStr">
        <is>
          <t xml:space="preserve">item </t>
        </is>
      </c>
      <c r="B7817">
        <f>VLOOKUP(573,Requirements!A2:B2967,2,FALSE)</f>
        <v/>
      </c>
    </row>
    <row r="7818">
      <c r="A7818" t="inlineStr">
        <is>
          <t xml:space="preserve">item </t>
        </is>
      </c>
      <c r="B7818">
        <f>VLOOKUP(742,Requirements!A2:B2967,2,FALSE)</f>
        <v/>
      </c>
    </row>
    <row r="7819">
      <c r="A7819" t="inlineStr">
        <is>
          <t xml:space="preserve">item </t>
        </is>
      </c>
      <c r="B7819">
        <f>VLOOKUP(749,Requirements!A2:B2967,2,FALSE)</f>
        <v/>
      </c>
    </row>
    <row r="7820">
      <c r="A7820" t="inlineStr">
        <is>
          <t xml:space="preserve">item </t>
        </is>
      </c>
      <c r="B7820">
        <f>VLOOKUP(752,Requirements!A2:B2967,2,FALSE)</f>
        <v/>
      </c>
    </row>
    <row r="7821">
      <c r="A7821" t="inlineStr">
        <is>
          <t xml:space="preserve">item </t>
        </is>
      </c>
      <c r="B7821">
        <f>VLOOKUP(792,Requirements!A2:B2967,2,FALSE)</f>
        <v/>
      </c>
    </row>
    <row r="7822">
      <c r="A7822" t="inlineStr">
        <is>
          <t xml:space="preserve">item </t>
        </is>
      </c>
      <c r="B7822">
        <f>VLOOKUP(847,Requirements!A2:B2967,2,FALSE)</f>
        <v/>
      </c>
    </row>
    <row r="7823">
      <c r="A7823" t="inlineStr">
        <is>
          <t xml:space="preserve">item </t>
        </is>
      </c>
      <c r="B7823">
        <f>VLOOKUP(852,Requirements!A2:B2967,2,FALSE)</f>
        <v/>
      </c>
    </row>
    <row r="7824">
      <c r="A7824" t="inlineStr">
        <is>
          <t xml:space="preserve">item </t>
        </is>
      </c>
      <c r="B7824">
        <f>VLOOKUP(867,Requirements!A2:B2967,2,FALSE)</f>
        <v/>
      </c>
    </row>
    <row r="7825">
      <c r="A7825" t="inlineStr">
        <is>
          <t xml:space="preserve">item </t>
        </is>
      </c>
      <c r="B7825">
        <f>VLOOKUP(893,Requirements!A2:B2967,2,FALSE)</f>
        <v/>
      </c>
    </row>
    <row r="7826">
      <c r="A7826" t="inlineStr">
        <is>
          <t xml:space="preserve">item </t>
        </is>
      </c>
      <c r="B7826">
        <f>VLOOKUP(935,Requirements!A2:B2967,2,FALSE)</f>
        <v/>
      </c>
    </row>
    <row r="7827">
      <c r="A7827" t="inlineStr">
        <is>
          <t xml:space="preserve">item </t>
        </is>
      </c>
      <c r="B7827">
        <f>VLOOKUP(1032,Requirements!A2:B2967,2,FALSE)</f>
        <v/>
      </c>
    </row>
    <row r="7828">
      <c r="A7828" t="inlineStr">
        <is>
          <t xml:space="preserve">item </t>
        </is>
      </c>
      <c r="B7828">
        <f>VLOOKUP(1116,Requirements!A2:B2967,2,FALSE)</f>
        <v/>
      </c>
    </row>
    <row r="7829">
      <c r="A7829" t="inlineStr">
        <is>
          <t xml:space="preserve">item </t>
        </is>
      </c>
      <c r="B7829">
        <f>VLOOKUP(1289,Requirements!A2:B2967,2,FALSE)</f>
        <v/>
      </c>
    </row>
    <row r="7830">
      <c r="A7830" t="inlineStr">
        <is>
          <t xml:space="preserve">item </t>
        </is>
      </c>
      <c r="B7830">
        <f>VLOOKUP(1298,Requirements!A2:B2967,2,FALSE)</f>
        <v/>
      </c>
    </row>
    <row r="7831">
      <c r="A7831" t="inlineStr">
        <is>
          <t xml:space="preserve">item </t>
        </is>
      </c>
      <c r="B7831">
        <f>VLOOKUP(1378,Requirements!A2:B2967,2,FALSE)</f>
        <v/>
      </c>
    </row>
    <row r="7832">
      <c r="A7832" t="inlineStr">
        <is>
          <t xml:space="preserve">item </t>
        </is>
      </c>
      <c r="B7832">
        <f>VLOOKUP(1395,Requirements!A2:B2967,2,FALSE)</f>
        <v/>
      </c>
    </row>
    <row r="7833">
      <c r="A7833" t="inlineStr">
        <is>
          <t xml:space="preserve">item </t>
        </is>
      </c>
      <c r="B7833">
        <f>VLOOKUP(1442,Requirements!A2:B2967,2,FALSE)</f>
        <v/>
      </c>
    </row>
    <row r="7834">
      <c r="A7834" t="inlineStr">
        <is>
          <t xml:space="preserve">item </t>
        </is>
      </c>
      <c r="B7834">
        <f>VLOOKUP(1496,Requirements!A2:B2967,2,FALSE)</f>
        <v/>
      </c>
    </row>
    <row r="7835">
      <c r="A7835" t="inlineStr">
        <is>
          <t xml:space="preserve">item </t>
        </is>
      </c>
      <c r="B7835">
        <f>VLOOKUP(1531,Requirements!A2:B2967,2,FALSE)</f>
        <v/>
      </c>
    </row>
    <row r="7836">
      <c r="A7836" t="inlineStr">
        <is>
          <t xml:space="preserve">item </t>
        </is>
      </c>
      <c r="B7836">
        <f>VLOOKUP(1604,Requirements!A2:B2967,2,FALSE)</f>
        <v/>
      </c>
    </row>
    <row r="7837">
      <c r="A7837" t="inlineStr">
        <is>
          <t xml:space="preserve">item </t>
        </is>
      </c>
      <c r="B7837">
        <f>VLOOKUP(1689,Requirements!A2:B2967,2,FALSE)</f>
        <v/>
      </c>
    </row>
    <row r="7838">
      <c r="A7838" t="inlineStr">
        <is>
          <t xml:space="preserve">item </t>
        </is>
      </c>
      <c r="B7838">
        <f>VLOOKUP(1801,Requirements!A2:B2967,2,FALSE)</f>
        <v/>
      </c>
    </row>
    <row r="7839">
      <c r="A7839" t="inlineStr">
        <is>
          <t xml:space="preserve">item </t>
        </is>
      </c>
      <c r="B7839">
        <f>VLOOKUP(1975,Requirements!A2:B2967,2,FALSE)</f>
        <v/>
      </c>
    </row>
    <row r="7840">
      <c r="A7840" t="inlineStr">
        <is>
          <t xml:space="preserve">item </t>
        </is>
      </c>
      <c r="B7840">
        <f>VLOOKUP(2275,Requirements!A2:B2967,2,FALSE)</f>
        <v/>
      </c>
    </row>
    <row r="7841">
      <c r="A7841" t="inlineStr">
        <is>
          <t xml:space="preserve">item </t>
        </is>
      </c>
      <c r="B7841">
        <f>VLOOKUP(2377,Requirements!A2:B2967,2,FALSE)</f>
        <v/>
      </c>
    </row>
    <row r="7842">
      <c r="A7842" t="inlineStr">
        <is>
          <t xml:space="preserve">item </t>
        </is>
      </c>
      <c r="B7842">
        <f>VLOOKUP(2480,Requirements!A2:B2967,2,FALSE)</f>
        <v/>
      </c>
    </row>
    <row r="7843">
      <c r="A7843" t="inlineStr">
        <is>
          <t xml:space="preserve">item </t>
        </is>
      </c>
      <c r="B7843">
        <f>VLOOKUP(2695,Requirements!A2:B2967,2,FALSE)</f>
        <v/>
      </c>
    </row>
    <row r="7844">
      <c r="A7844" t="inlineStr">
        <is>
          <t xml:space="preserve">item </t>
        </is>
      </c>
      <c r="B7844">
        <f>VLOOKUP(2772,Requirements!A2:B2967,2,FALSE)</f>
        <v/>
      </c>
    </row>
    <row r="7845">
      <c r="A7845" t="inlineStr">
        <is>
          <t xml:space="preserve">item </t>
        </is>
      </c>
      <c r="B7845">
        <f>VLOOKUP(2811,Requirements!A2:B2967,2,FALSE)</f>
        <v/>
      </c>
    </row>
    <row r="7846">
      <c r="A7846" t="inlineStr">
        <is>
          <t xml:space="preserve">item </t>
        </is>
      </c>
      <c r="B7846">
        <f>VLOOKUP(2848,Requirements!A2:B2967,2,FALSE)</f>
        <v/>
      </c>
    </row>
    <row r="7847">
      <c r="A7847" t="inlineStr">
        <is>
          <t xml:space="preserve">item </t>
        </is>
      </c>
      <c r="B7847">
        <f>VLOOKUP(2924,Requirements!A2:B2967,2,FALSE)</f>
        <v/>
      </c>
    </row>
    <row r="7848">
      <c r="A7848" t="inlineStr">
        <is>
          <t xml:space="preserve">location </t>
        </is>
      </c>
      <c r="B7848">
        <f>VLOOKUP(121,Requirements!A2:B2967,2,FALSE)</f>
        <v/>
      </c>
    </row>
    <row r="7849">
      <c r="A7849" t="inlineStr">
        <is>
          <t xml:space="preserve">location </t>
        </is>
      </c>
      <c r="B7849">
        <f>VLOOKUP(130,Requirements!A2:B2967,2,FALSE)</f>
        <v/>
      </c>
    </row>
    <row r="7850">
      <c r="A7850" t="inlineStr">
        <is>
          <t xml:space="preserve">location </t>
        </is>
      </c>
      <c r="B7850">
        <f>VLOOKUP(152,Requirements!A2:B2967,2,FALSE)</f>
        <v/>
      </c>
    </row>
    <row r="7851">
      <c r="A7851" t="inlineStr">
        <is>
          <t xml:space="preserve">location </t>
        </is>
      </c>
      <c r="B7851">
        <f>VLOOKUP(175,Requirements!A2:B2967,2,FALSE)</f>
        <v/>
      </c>
    </row>
    <row r="7852">
      <c r="A7852" t="inlineStr">
        <is>
          <t xml:space="preserve">location </t>
        </is>
      </c>
      <c r="B7852">
        <f>VLOOKUP(768,Requirements!A2:B2967,2,FALSE)</f>
        <v/>
      </c>
    </row>
    <row r="7853">
      <c r="A7853" t="inlineStr">
        <is>
          <t xml:space="preserve">location </t>
        </is>
      </c>
      <c r="B7853">
        <f>VLOOKUP(904,Requirements!A2:B2967,2,FALSE)</f>
        <v/>
      </c>
    </row>
    <row r="7854">
      <c r="A7854" t="inlineStr">
        <is>
          <t xml:space="preserve">location </t>
        </is>
      </c>
      <c r="B7854">
        <f>VLOOKUP(1433,Requirements!A2:B2967,2,FALSE)</f>
        <v/>
      </c>
    </row>
    <row r="7855">
      <c r="A7855" t="inlineStr">
        <is>
          <t xml:space="preserve">location </t>
        </is>
      </c>
      <c r="B7855">
        <f>VLOOKUP(1689,Requirements!A2:B2967,2,FALSE)</f>
        <v/>
      </c>
    </row>
    <row r="7856">
      <c r="A7856" t="inlineStr">
        <is>
          <t xml:space="preserve">location </t>
        </is>
      </c>
      <c r="B7856">
        <f>VLOOKUP(2854,Requirements!A2:B2967,2,FALSE)</f>
        <v/>
      </c>
    </row>
    <row r="7857">
      <c r="A7857" t="inlineStr">
        <is>
          <t xml:space="preserve">energy cost </t>
        </is>
      </c>
      <c r="B7857">
        <f>VLOOKUP(121,Requirements!A2:B2967,2,FALSE)</f>
        <v/>
      </c>
    </row>
    <row r="7858">
      <c r="A7858" t="inlineStr">
        <is>
          <t xml:space="preserve">energy cost </t>
        </is>
      </c>
      <c r="B7858">
        <f>VLOOKUP(236,Requirements!A2:B2967,2,FALSE)</f>
        <v/>
      </c>
    </row>
    <row r="7859">
      <c r="A7859" t="inlineStr">
        <is>
          <t xml:space="preserve">energy cost </t>
        </is>
      </c>
      <c r="B7859">
        <f>VLOOKUP(245,Requirements!A2:B2967,2,FALSE)</f>
        <v/>
      </c>
    </row>
    <row r="7860">
      <c r="A7860" t="inlineStr">
        <is>
          <t xml:space="preserve">energy cost </t>
        </is>
      </c>
      <c r="B7860">
        <f>VLOOKUP(336,Requirements!A2:B2967,2,FALSE)</f>
        <v/>
      </c>
    </row>
    <row r="7861">
      <c r="A7861" t="inlineStr">
        <is>
          <t xml:space="preserve">energy cost </t>
        </is>
      </c>
      <c r="B7861">
        <f>VLOOKUP(786,Requirements!A2:B2967,2,FALSE)</f>
        <v/>
      </c>
    </row>
    <row r="7862">
      <c r="A7862" t="inlineStr">
        <is>
          <t xml:space="preserve">energy cost </t>
        </is>
      </c>
      <c r="B7862">
        <f>VLOOKUP(856,Requirements!A2:B2967,2,FALSE)</f>
        <v/>
      </c>
    </row>
    <row r="7863">
      <c r="A7863" t="inlineStr">
        <is>
          <t xml:space="preserve">energy cost </t>
        </is>
      </c>
      <c r="B7863">
        <f>VLOOKUP(2586,Requirements!A2:B2967,2,FALSE)</f>
        <v/>
      </c>
    </row>
    <row r="7864">
      <c r="A7864" t="inlineStr">
        <is>
          <t xml:space="preserve">energy cost </t>
        </is>
      </c>
      <c r="B7864">
        <f>VLOOKUP(2587,Requirements!A2:B2967,2,FALSE)</f>
        <v/>
      </c>
    </row>
    <row r="7865">
      <c r="A7865" t="inlineStr">
        <is>
          <t xml:space="preserve">energy cost </t>
        </is>
      </c>
      <c r="B7865">
        <f>VLOOKUP(3151,Requirements!A2:B2967,2,FALSE)</f>
        <v/>
      </c>
    </row>
    <row r="7866">
      <c r="A7866" t="inlineStr">
        <is>
          <t xml:space="preserve">energy cost </t>
        </is>
      </c>
      <c r="B7866">
        <f>VLOOKUP(3155,Requirements!A2:B2967,2,FALSE)</f>
        <v/>
      </c>
    </row>
    <row r="7867">
      <c r="A7867" t="inlineStr">
        <is>
          <t xml:space="preserve">energy efficient </t>
        </is>
      </c>
      <c r="B7867">
        <f>VLOOKUP(122,Requirements!A2:B2967,2,FALSE)</f>
        <v/>
      </c>
    </row>
    <row r="7868">
      <c r="A7868" t="inlineStr">
        <is>
          <t xml:space="preserve">energy efficient </t>
        </is>
      </c>
      <c r="B7868">
        <f>VLOOKUP(1028,Requirements!A2:B2967,2,FALSE)</f>
        <v/>
      </c>
    </row>
    <row r="7869">
      <c r="A7869" t="inlineStr">
        <is>
          <t xml:space="preserve">energy efficient </t>
        </is>
      </c>
      <c r="B7869">
        <f>VLOOKUP(1562,Requirements!A2:B2967,2,FALSE)</f>
        <v/>
      </c>
    </row>
    <row r="7870">
      <c r="A7870" t="inlineStr">
        <is>
          <t xml:space="preserve">energy efficient </t>
        </is>
      </c>
      <c r="B7870">
        <f>VLOOKUP(2079,Requirements!A2:B2967,2,FALSE)</f>
        <v/>
      </c>
    </row>
    <row r="7871">
      <c r="A7871" t="inlineStr">
        <is>
          <t xml:space="preserve">energy efficient </t>
        </is>
      </c>
      <c r="B7871">
        <f>VLOOKUP(2158,Requirements!A2:B2967,2,FALSE)</f>
        <v/>
      </c>
    </row>
    <row r="7872">
      <c r="A7872" t="inlineStr">
        <is>
          <t xml:space="preserve">energy efficient </t>
        </is>
      </c>
      <c r="B7872">
        <f>VLOOKUP(2954,Requirements!A2:B2967,2,FALSE)</f>
        <v/>
      </c>
    </row>
    <row r="7873">
      <c r="A7873" t="inlineStr">
        <is>
          <t xml:space="preserve">energy efficient </t>
        </is>
      </c>
      <c r="B7873">
        <f>VLOOKUP(3080,Requirements!A2:B2967,2,FALSE)</f>
        <v/>
      </c>
    </row>
    <row r="7874">
      <c r="A7874" t="inlineStr">
        <is>
          <t xml:space="preserve">fire </t>
        </is>
      </c>
      <c r="B7874">
        <f>VLOOKUP(123,Requirements!A2:B2967,2,FALSE)</f>
        <v/>
      </c>
    </row>
    <row r="7875">
      <c r="A7875" t="inlineStr">
        <is>
          <t xml:space="preserve">fire </t>
        </is>
      </c>
      <c r="B7875">
        <f>VLOOKUP(160,Requirements!A2:B2967,2,FALSE)</f>
        <v/>
      </c>
    </row>
    <row r="7876">
      <c r="A7876" t="inlineStr">
        <is>
          <t xml:space="preserve">fire </t>
        </is>
      </c>
      <c r="B7876">
        <f>VLOOKUP(299,Requirements!A2:B2967,2,FALSE)</f>
        <v/>
      </c>
    </row>
    <row r="7877">
      <c r="A7877" t="inlineStr">
        <is>
          <t xml:space="preserve">fire </t>
        </is>
      </c>
      <c r="B7877">
        <f>VLOOKUP(306,Requirements!A2:B2967,2,FALSE)</f>
        <v/>
      </c>
    </row>
    <row r="7878">
      <c r="A7878" t="inlineStr">
        <is>
          <t xml:space="preserve">fire </t>
        </is>
      </c>
      <c r="B7878">
        <f>VLOOKUP(327,Requirements!A2:B2967,2,FALSE)</f>
        <v/>
      </c>
    </row>
    <row r="7879">
      <c r="A7879" t="inlineStr">
        <is>
          <t xml:space="preserve">fire </t>
        </is>
      </c>
      <c r="B7879">
        <f>VLOOKUP(398,Requirements!A2:B2967,2,FALSE)</f>
        <v/>
      </c>
    </row>
    <row r="7880">
      <c r="A7880" t="inlineStr">
        <is>
          <t xml:space="preserve">fire </t>
        </is>
      </c>
      <c r="B7880">
        <f>VLOOKUP(506,Requirements!A2:B2967,2,FALSE)</f>
        <v/>
      </c>
    </row>
    <row r="7881">
      <c r="A7881" t="inlineStr">
        <is>
          <t xml:space="preserve">fire </t>
        </is>
      </c>
      <c r="B7881">
        <f>VLOOKUP(554,Requirements!A2:B2967,2,FALSE)</f>
        <v/>
      </c>
    </row>
    <row r="7882">
      <c r="A7882" t="inlineStr">
        <is>
          <t xml:space="preserve">fire </t>
        </is>
      </c>
      <c r="B7882">
        <f>VLOOKUP(706,Requirements!A2:B2967,2,FALSE)</f>
        <v/>
      </c>
    </row>
    <row r="7883">
      <c r="A7883" t="inlineStr">
        <is>
          <t xml:space="preserve">fire </t>
        </is>
      </c>
      <c r="B7883">
        <f>VLOOKUP(707,Requirements!A2:B2967,2,FALSE)</f>
        <v/>
      </c>
    </row>
    <row r="7884">
      <c r="A7884" t="inlineStr">
        <is>
          <t xml:space="preserve">fire </t>
        </is>
      </c>
      <c r="B7884">
        <f>VLOOKUP(977,Requirements!A2:B2967,2,FALSE)</f>
        <v/>
      </c>
    </row>
    <row r="7885">
      <c r="A7885" t="inlineStr">
        <is>
          <t xml:space="preserve">fire </t>
        </is>
      </c>
      <c r="B7885">
        <f>VLOOKUP(996,Requirements!A2:B2967,2,FALSE)</f>
        <v/>
      </c>
    </row>
    <row r="7886">
      <c r="A7886" t="inlineStr">
        <is>
          <t xml:space="preserve">fire </t>
        </is>
      </c>
      <c r="B7886">
        <f>VLOOKUP(1001,Requirements!A2:B2967,2,FALSE)</f>
        <v/>
      </c>
    </row>
    <row r="7887">
      <c r="A7887" t="inlineStr">
        <is>
          <t xml:space="preserve">fire </t>
        </is>
      </c>
      <c r="B7887">
        <f>VLOOKUP(1058,Requirements!A2:B2967,2,FALSE)</f>
        <v/>
      </c>
    </row>
    <row r="7888">
      <c r="A7888" t="inlineStr">
        <is>
          <t xml:space="preserve">fire </t>
        </is>
      </c>
      <c r="B7888">
        <f>VLOOKUP(1110,Requirements!A2:B2967,2,FALSE)</f>
        <v/>
      </c>
    </row>
    <row r="7889">
      <c r="A7889" t="inlineStr">
        <is>
          <t xml:space="preserve">fire </t>
        </is>
      </c>
      <c r="B7889">
        <f>VLOOKUP(1446,Requirements!A2:B2967,2,FALSE)</f>
        <v/>
      </c>
    </row>
    <row r="7890">
      <c r="A7890" t="inlineStr">
        <is>
          <t xml:space="preserve">fire </t>
        </is>
      </c>
      <c r="B7890">
        <f>VLOOKUP(1472,Requirements!A2:B2967,2,FALSE)</f>
        <v/>
      </c>
    </row>
    <row r="7891">
      <c r="A7891" t="inlineStr">
        <is>
          <t xml:space="preserve">fire </t>
        </is>
      </c>
      <c r="B7891">
        <f>VLOOKUP(1674,Requirements!A2:B2967,2,FALSE)</f>
        <v/>
      </c>
    </row>
    <row r="7892">
      <c r="A7892" t="inlineStr">
        <is>
          <t xml:space="preserve">fire </t>
        </is>
      </c>
      <c r="B7892">
        <f>VLOOKUP(1821,Requirements!A2:B2967,2,FALSE)</f>
        <v/>
      </c>
    </row>
    <row r="7893">
      <c r="A7893" t="inlineStr">
        <is>
          <t xml:space="preserve">fire </t>
        </is>
      </c>
      <c r="B7893">
        <f>VLOOKUP(1830,Requirements!A2:B2967,2,FALSE)</f>
        <v/>
      </c>
    </row>
    <row r="7894">
      <c r="A7894" t="inlineStr">
        <is>
          <t xml:space="preserve">fire </t>
        </is>
      </c>
      <c r="B7894">
        <f>VLOOKUP(2014,Requirements!A2:B2967,2,FALSE)</f>
        <v/>
      </c>
    </row>
    <row r="7895">
      <c r="A7895" t="inlineStr">
        <is>
          <t xml:space="preserve">fire </t>
        </is>
      </c>
      <c r="B7895">
        <f>VLOOKUP(2083,Requirements!A2:B2967,2,FALSE)</f>
        <v/>
      </c>
    </row>
    <row r="7896">
      <c r="A7896" t="inlineStr">
        <is>
          <t xml:space="preserve">fire </t>
        </is>
      </c>
      <c r="B7896">
        <f>VLOOKUP(2111,Requirements!A2:B2967,2,FALSE)</f>
        <v/>
      </c>
    </row>
    <row r="7897">
      <c r="A7897" t="inlineStr">
        <is>
          <t xml:space="preserve">fire </t>
        </is>
      </c>
      <c r="B7897">
        <f>VLOOKUP(2224,Requirements!A2:B2967,2,FALSE)</f>
        <v/>
      </c>
    </row>
    <row r="7898">
      <c r="A7898" t="inlineStr">
        <is>
          <t xml:space="preserve">fire </t>
        </is>
      </c>
      <c r="B7898">
        <f>VLOOKUP(2269,Requirements!A2:B2967,2,FALSE)</f>
        <v/>
      </c>
    </row>
    <row r="7899">
      <c r="A7899" t="inlineStr">
        <is>
          <t xml:space="preserve">fire </t>
        </is>
      </c>
      <c r="B7899">
        <f>VLOOKUP(2517,Requirements!A2:B2967,2,FALSE)</f>
        <v/>
      </c>
    </row>
    <row r="7900">
      <c r="A7900" t="inlineStr">
        <is>
          <t xml:space="preserve">fire </t>
        </is>
      </c>
      <c r="B7900">
        <f>VLOOKUP(2521,Requirements!A2:B2967,2,FALSE)</f>
        <v/>
      </c>
    </row>
    <row r="7901">
      <c r="A7901" t="inlineStr">
        <is>
          <t xml:space="preserve">fire </t>
        </is>
      </c>
      <c r="B7901">
        <f>VLOOKUP(2523,Requirements!A2:B2967,2,FALSE)</f>
        <v/>
      </c>
    </row>
    <row r="7902">
      <c r="A7902" t="inlineStr">
        <is>
          <t xml:space="preserve">fire </t>
        </is>
      </c>
      <c r="B7902">
        <f>VLOOKUP(2581,Requirements!A2:B2967,2,FALSE)</f>
        <v/>
      </c>
    </row>
    <row r="7903">
      <c r="A7903" t="inlineStr">
        <is>
          <t xml:space="preserve">fire </t>
        </is>
      </c>
      <c r="B7903">
        <f>VLOOKUP(2598,Requirements!A2:B2967,2,FALSE)</f>
        <v/>
      </c>
    </row>
    <row r="7904">
      <c r="A7904" t="inlineStr">
        <is>
          <t xml:space="preserve">fire </t>
        </is>
      </c>
      <c r="B7904">
        <f>VLOOKUP(2672,Requirements!A2:B2967,2,FALSE)</f>
        <v/>
      </c>
    </row>
    <row r="7905">
      <c r="A7905" t="inlineStr">
        <is>
          <t xml:space="preserve">fire </t>
        </is>
      </c>
      <c r="B7905">
        <f>VLOOKUP(2734,Requirements!A2:B2967,2,FALSE)</f>
        <v/>
      </c>
    </row>
    <row r="7906">
      <c r="A7906" t="inlineStr">
        <is>
          <t xml:space="preserve">fire </t>
        </is>
      </c>
      <c r="B7906">
        <f>VLOOKUP(3038,Requirements!A2:B2967,2,FALSE)</f>
        <v/>
      </c>
    </row>
    <row r="7907">
      <c r="A7907" t="inlineStr">
        <is>
          <t xml:space="preserve">fire </t>
        </is>
      </c>
      <c r="B7907">
        <f>VLOOKUP(3047,Requirements!A2:B2967,2,FALSE)</f>
        <v/>
      </c>
    </row>
    <row r="7908">
      <c r="A7908" t="inlineStr">
        <is>
          <t xml:space="preserve">easier </t>
        </is>
      </c>
      <c r="B7908">
        <f>VLOOKUP(124,Requirements!A2:B2967,2,FALSE)</f>
        <v/>
      </c>
    </row>
    <row r="7909">
      <c r="A7909" t="inlineStr">
        <is>
          <t xml:space="preserve">easier </t>
        </is>
      </c>
      <c r="B7909">
        <f>VLOOKUP(529,Requirements!A2:B2967,2,FALSE)</f>
        <v/>
      </c>
    </row>
    <row r="7910">
      <c r="A7910" t="inlineStr">
        <is>
          <t xml:space="preserve">easier </t>
        </is>
      </c>
      <c r="B7910">
        <f>VLOOKUP(1132,Requirements!A2:B2967,2,FALSE)</f>
        <v/>
      </c>
    </row>
    <row r="7911">
      <c r="A7911" t="inlineStr">
        <is>
          <t xml:space="preserve">easier </t>
        </is>
      </c>
      <c r="B7911">
        <f>VLOOKUP(1233,Requirements!A2:B2967,2,FALSE)</f>
        <v/>
      </c>
    </row>
    <row r="7912">
      <c r="A7912" t="inlineStr">
        <is>
          <t xml:space="preserve">easier </t>
        </is>
      </c>
      <c r="B7912">
        <f>VLOOKUP(1898,Requirements!A2:B2967,2,FALSE)</f>
        <v/>
      </c>
    </row>
    <row r="7913">
      <c r="A7913" t="inlineStr">
        <is>
          <t xml:space="preserve">easier </t>
        </is>
      </c>
      <c r="B7913">
        <f>VLOOKUP(2110,Requirements!A2:B2967,2,FALSE)</f>
        <v/>
      </c>
    </row>
    <row r="7914">
      <c r="A7914" t="inlineStr">
        <is>
          <t xml:space="preserve">easier </t>
        </is>
      </c>
      <c r="B7914">
        <f>VLOOKUP(2344,Requirements!A2:B2967,2,FALSE)</f>
        <v/>
      </c>
    </row>
    <row r="7915">
      <c r="A7915" t="inlineStr">
        <is>
          <t xml:space="preserve">easier </t>
        </is>
      </c>
      <c r="B7915">
        <f>VLOOKUP(2613,Requirements!A2:B2967,2,FALSE)</f>
        <v/>
      </c>
    </row>
    <row r="7916">
      <c r="A7916" t="inlineStr">
        <is>
          <t xml:space="preserve">easier </t>
        </is>
      </c>
      <c r="B7916">
        <f>VLOOKUP(2729,Requirements!A2:B2967,2,FALSE)</f>
        <v/>
      </c>
    </row>
    <row r="7917">
      <c r="A7917" t="inlineStr">
        <is>
          <t xml:space="preserve">easier </t>
        </is>
      </c>
      <c r="B7917">
        <f>VLOOKUP(2790,Requirements!A2:B2967,2,FALSE)</f>
        <v/>
      </c>
    </row>
    <row r="7918">
      <c r="A7918" t="inlineStr">
        <is>
          <t xml:space="preserve">alert </t>
        </is>
      </c>
      <c r="B7918">
        <f>VLOOKUP(129,Requirements!A2:B2967,2,FALSE)</f>
        <v/>
      </c>
    </row>
    <row r="7919">
      <c r="A7919" t="inlineStr">
        <is>
          <t xml:space="preserve">alert </t>
        </is>
      </c>
      <c r="B7919">
        <f>VLOOKUP(130,Requirements!A2:B2967,2,FALSE)</f>
        <v/>
      </c>
    </row>
    <row r="7920">
      <c r="A7920" t="inlineStr">
        <is>
          <t xml:space="preserve">alert </t>
        </is>
      </c>
      <c r="B7920">
        <f>VLOOKUP(156,Requirements!A2:B2967,2,FALSE)</f>
        <v/>
      </c>
    </row>
    <row r="7921">
      <c r="A7921" t="inlineStr">
        <is>
          <t xml:space="preserve">alert </t>
        </is>
      </c>
      <c r="B7921">
        <f>VLOOKUP(166,Requirements!A2:B2967,2,FALSE)</f>
        <v/>
      </c>
    </row>
    <row r="7922">
      <c r="A7922" t="inlineStr">
        <is>
          <t xml:space="preserve">alert </t>
        </is>
      </c>
      <c r="B7922">
        <f>VLOOKUP(168,Requirements!A2:B2967,2,FALSE)</f>
        <v/>
      </c>
    </row>
    <row r="7923">
      <c r="A7923" t="inlineStr">
        <is>
          <t xml:space="preserve">alert </t>
        </is>
      </c>
      <c r="B7923">
        <f>VLOOKUP(176,Requirements!A2:B2967,2,FALSE)</f>
        <v/>
      </c>
    </row>
    <row r="7924">
      <c r="A7924" t="inlineStr">
        <is>
          <t xml:space="preserve">alert </t>
        </is>
      </c>
      <c r="B7924">
        <f>VLOOKUP(186,Requirements!A2:B2967,2,FALSE)</f>
        <v/>
      </c>
    </row>
    <row r="7925">
      <c r="A7925" t="inlineStr">
        <is>
          <t xml:space="preserve">alert </t>
        </is>
      </c>
      <c r="B7925">
        <f>VLOOKUP(201,Requirements!A2:B2967,2,FALSE)</f>
        <v/>
      </c>
    </row>
    <row r="7926">
      <c r="A7926" t="inlineStr">
        <is>
          <t xml:space="preserve">alert </t>
        </is>
      </c>
      <c r="B7926">
        <f>VLOOKUP(221,Requirements!A2:B2967,2,FALSE)</f>
        <v/>
      </c>
    </row>
    <row r="7927">
      <c r="A7927" t="inlineStr">
        <is>
          <t xml:space="preserve">alert </t>
        </is>
      </c>
      <c r="B7927">
        <f>VLOOKUP(223,Requirements!A2:B2967,2,FALSE)</f>
        <v/>
      </c>
    </row>
    <row r="7928">
      <c r="A7928" t="inlineStr">
        <is>
          <t xml:space="preserve">alert </t>
        </is>
      </c>
      <c r="B7928">
        <f>VLOOKUP(240,Requirements!A2:B2967,2,FALSE)</f>
        <v/>
      </c>
    </row>
    <row r="7929">
      <c r="A7929" t="inlineStr">
        <is>
          <t xml:space="preserve">alert </t>
        </is>
      </c>
      <c r="B7929">
        <f>VLOOKUP(267,Requirements!A2:B2967,2,FALSE)</f>
        <v/>
      </c>
    </row>
    <row r="7930">
      <c r="A7930" t="inlineStr">
        <is>
          <t xml:space="preserve">alert </t>
        </is>
      </c>
      <c r="B7930">
        <f>VLOOKUP(271,Requirements!A2:B2967,2,FALSE)</f>
        <v/>
      </c>
    </row>
    <row r="7931">
      <c r="A7931" t="inlineStr">
        <is>
          <t xml:space="preserve">alert </t>
        </is>
      </c>
      <c r="B7931">
        <f>VLOOKUP(277,Requirements!A2:B2967,2,FALSE)</f>
        <v/>
      </c>
    </row>
    <row r="7932">
      <c r="A7932" t="inlineStr">
        <is>
          <t xml:space="preserve">alert </t>
        </is>
      </c>
      <c r="B7932">
        <f>VLOOKUP(281,Requirements!A2:B2967,2,FALSE)</f>
        <v/>
      </c>
    </row>
    <row r="7933">
      <c r="A7933" t="inlineStr">
        <is>
          <t xml:space="preserve">alert </t>
        </is>
      </c>
      <c r="B7933">
        <f>VLOOKUP(284,Requirements!A2:B2967,2,FALSE)</f>
        <v/>
      </c>
    </row>
    <row r="7934">
      <c r="A7934" t="inlineStr">
        <is>
          <t xml:space="preserve">alert </t>
        </is>
      </c>
      <c r="B7934">
        <f>VLOOKUP(286,Requirements!A2:B2967,2,FALSE)</f>
        <v/>
      </c>
    </row>
    <row r="7935">
      <c r="A7935" t="inlineStr">
        <is>
          <t xml:space="preserve">alert </t>
        </is>
      </c>
      <c r="B7935">
        <f>VLOOKUP(307,Requirements!A2:B2967,2,FALSE)</f>
        <v/>
      </c>
    </row>
    <row r="7936">
      <c r="A7936" t="inlineStr">
        <is>
          <t xml:space="preserve">alert </t>
        </is>
      </c>
      <c r="B7936">
        <f>VLOOKUP(327,Requirements!A2:B2967,2,FALSE)</f>
        <v/>
      </c>
    </row>
    <row r="7937">
      <c r="A7937" t="inlineStr">
        <is>
          <t xml:space="preserve">alert </t>
        </is>
      </c>
      <c r="B7937">
        <f>VLOOKUP(347,Requirements!A2:B2967,2,FALSE)</f>
        <v/>
      </c>
    </row>
    <row r="7938">
      <c r="A7938" t="inlineStr">
        <is>
          <t xml:space="preserve">alert </t>
        </is>
      </c>
      <c r="B7938">
        <f>VLOOKUP(384,Requirements!A2:B2967,2,FALSE)</f>
        <v/>
      </c>
    </row>
    <row r="7939">
      <c r="A7939" t="inlineStr">
        <is>
          <t xml:space="preserve">alert </t>
        </is>
      </c>
      <c r="B7939">
        <f>VLOOKUP(394,Requirements!A2:B2967,2,FALSE)</f>
        <v/>
      </c>
    </row>
    <row r="7940">
      <c r="A7940" t="inlineStr">
        <is>
          <t xml:space="preserve">alert </t>
        </is>
      </c>
      <c r="B7940">
        <f>VLOOKUP(398,Requirements!A2:B2967,2,FALSE)</f>
        <v/>
      </c>
    </row>
    <row r="7941">
      <c r="A7941" t="inlineStr">
        <is>
          <t xml:space="preserve">alert </t>
        </is>
      </c>
      <c r="B7941">
        <f>VLOOKUP(403,Requirements!A2:B2967,2,FALSE)</f>
        <v/>
      </c>
    </row>
    <row r="7942">
      <c r="A7942" t="inlineStr">
        <is>
          <t xml:space="preserve">alert </t>
        </is>
      </c>
      <c r="B7942">
        <f>VLOOKUP(404,Requirements!A2:B2967,2,FALSE)</f>
        <v/>
      </c>
    </row>
    <row r="7943">
      <c r="A7943" t="inlineStr">
        <is>
          <t xml:space="preserve">alert </t>
        </is>
      </c>
      <c r="B7943">
        <f>VLOOKUP(413,Requirements!A2:B2967,2,FALSE)</f>
        <v/>
      </c>
    </row>
    <row r="7944">
      <c r="A7944" t="inlineStr">
        <is>
          <t xml:space="preserve">alert </t>
        </is>
      </c>
      <c r="B7944">
        <f>VLOOKUP(418,Requirements!A2:B2967,2,FALSE)</f>
        <v/>
      </c>
    </row>
    <row r="7945">
      <c r="A7945" t="inlineStr">
        <is>
          <t xml:space="preserve">alert </t>
        </is>
      </c>
      <c r="B7945">
        <f>VLOOKUP(428,Requirements!A2:B2967,2,FALSE)</f>
        <v/>
      </c>
    </row>
    <row r="7946">
      <c r="A7946" t="inlineStr">
        <is>
          <t xml:space="preserve">alert </t>
        </is>
      </c>
      <c r="B7946">
        <f>VLOOKUP(451,Requirements!A2:B2967,2,FALSE)</f>
        <v/>
      </c>
    </row>
    <row r="7947">
      <c r="A7947" t="inlineStr">
        <is>
          <t xml:space="preserve">alert </t>
        </is>
      </c>
      <c r="B7947">
        <f>VLOOKUP(456,Requirements!A2:B2967,2,FALSE)</f>
        <v/>
      </c>
    </row>
    <row r="7948">
      <c r="A7948" t="inlineStr">
        <is>
          <t xml:space="preserve">alert </t>
        </is>
      </c>
      <c r="B7948">
        <f>VLOOKUP(474,Requirements!A2:B2967,2,FALSE)</f>
        <v/>
      </c>
    </row>
    <row r="7949">
      <c r="A7949" t="inlineStr">
        <is>
          <t xml:space="preserve">alert </t>
        </is>
      </c>
      <c r="B7949">
        <f>VLOOKUP(482,Requirements!A2:B2967,2,FALSE)</f>
        <v/>
      </c>
    </row>
    <row r="7950">
      <c r="A7950" t="inlineStr">
        <is>
          <t xml:space="preserve">alert </t>
        </is>
      </c>
      <c r="B7950">
        <f>VLOOKUP(499,Requirements!A2:B2967,2,FALSE)</f>
        <v/>
      </c>
    </row>
    <row r="7951">
      <c r="A7951" t="inlineStr">
        <is>
          <t xml:space="preserve">alert </t>
        </is>
      </c>
      <c r="B7951">
        <f>VLOOKUP(506,Requirements!A2:B2967,2,FALSE)</f>
        <v/>
      </c>
    </row>
    <row r="7952">
      <c r="A7952" t="inlineStr">
        <is>
          <t xml:space="preserve">alert </t>
        </is>
      </c>
      <c r="B7952">
        <f>VLOOKUP(508,Requirements!A2:B2967,2,FALSE)</f>
        <v/>
      </c>
    </row>
    <row r="7953">
      <c r="A7953" t="inlineStr">
        <is>
          <t xml:space="preserve">alert </t>
        </is>
      </c>
      <c r="B7953">
        <f>VLOOKUP(554,Requirements!A2:B2967,2,FALSE)</f>
        <v/>
      </c>
    </row>
    <row r="7954">
      <c r="A7954" t="inlineStr">
        <is>
          <t xml:space="preserve">alert </t>
        </is>
      </c>
      <c r="B7954">
        <f>VLOOKUP(560,Requirements!A2:B2967,2,FALSE)</f>
        <v/>
      </c>
    </row>
    <row r="7955">
      <c r="A7955" t="inlineStr">
        <is>
          <t xml:space="preserve">alert </t>
        </is>
      </c>
      <c r="B7955">
        <f>VLOOKUP(584,Requirements!A2:B2967,2,FALSE)</f>
        <v/>
      </c>
    </row>
    <row r="7956">
      <c r="A7956" t="inlineStr">
        <is>
          <t xml:space="preserve">alert </t>
        </is>
      </c>
      <c r="B7956">
        <f>VLOOKUP(611,Requirements!A2:B2967,2,FALSE)</f>
        <v/>
      </c>
    </row>
    <row r="7957">
      <c r="A7957" t="inlineStr">
        <is>
          <t xml:space="preserve">alert </t>
        </is>
      </c>
      <c r="B7957">
        <f>VLOOKUP(620,Requirements!A2:B2967,2,FALSE)</f>
        <v/>
      </c>
    </row>
    <row r="7958">
      <c r="A7958" t="inlineStr">
        <is>
          <t xml:space="preserve">alert </t>
        </is>
      </c>
      <c r="B7958">
        <f>VLOOKUP(641,Requirements!A2:B2967,2,FALSE)</f>
        <v/>
      </c>
    </row>
    <row r="7959">
      <c r="A7959" t="inlineStr">
        <is>
          <t xml:space="preserve">alert </t>
        </is>
      </c>
      <c r="B7959">
        <f>VLOOKUP(648,Requirements!A2:B2967,2,FALSE)</f>
        <v/>
      </c>
    </row>
    <row r="7960">
      <c r="A7960" t="inlineStr">
        <is>
          <t xml:space="preserve">alert </t>
        </is>
      </c>
      <c r="B7960">
        <f>VLOOKUP(660,Requirements!A2:B2967,2,FALSE)</f>
        <v/>
      </c>
    </row>
    <row r="7961">
      <c r="A7961" t="inlineStr">
        <is>
          <t xml:space="preserve">alert </t>
        </is>
      </c>
      <c r="B7961">
        <f>VLOOKUP(661,Requirements!A2:B2967,2,FALSE)</f>
        <v/>
      </c>
    </row>
    <row r="7962">
      <c r="A7962" t="inlineStr">
        <is>
          <t xml:space="preserve">alert </t>
        </is>
      </c>
      <c r="B7962">
        <f>VLOOKUP(673,Requirements!A2:B2967,2,FALSE)</f>
        <v/>
      </c>
    </row>
    <row r="7963">
      <c r="A7963" t="inlineStr">
        <is>
          <t xml:space="preserve">alert </t>
        </is>
      </c>
      <c r="B7963">
        <f>VLOOKUP(675,Requirements!A2:B2967,2,FALSE)</f>
        <v/>
      </c>
    </row>
    <row r="7964">
      <c r="A7964" t="inlineStr">
        <is>
          <t xml:space="preserve">alert </t>
        </is>
      </c>
      <c r="B7964">
        <f>VLOOKUP(676,Requirements!A2:B2967,2,FALSE)</f>
        <v/>
      </c>
    </row>
    <row r="7965">
      <c r="A7965" t="inlineStr">
        <is>
          <t xml:space="preserve">alert </t>
        </is>
      </c>
      <c r="B7965">
        <f>VLOOKUP(682,Requirements!A2:B2967,2,FALSE)</f>
        <v/>
      </c>
    </row>
    <row r="7966">
      <c r="A7966" t="inlineStr">
        <is>
          <t xml:space="preserve">alert </t>
        </is>
      </c>
      <c r="B7966">
        <f>VLOOKUP(684,Requirements!A2:B2967,2,FALSE)</f>
        <v/>
      </c>
    </row>
    <row r="7967">
      <c r="A7967" t="inlineStr">
        <is>
          <t xml:space="preserve">alert </t>
        </is>
      </c>
      <c r="B7967">
        <f>VLOOKUP(686,Requirements!A2:B2967,2,FALSE)</f>
        <v/>
      </c>
    </row>
    <row r="7968">
      <c r="A7968" t="inlineStr">
        <is>
          <t xml:space="preserve">alert </t>
        </is>
      </c>
      <c r="B7968">
        <f>VLOOKUP(688,Requirements!A2:B2967,2,FALSE)</f>
        <v/>
      </c>
    </row>
    <row r="7969">
      <c r="A7969" t="inlineStr">
        <is>
          <t xml:space="preserve">alert </t>
        </is>
      </c>
      <c r="B7969">
        <f>VLOOKUP(689,Requirements!A2:B2967,2,FALSE)</f>
        <v/>
      </c>
    </row>
    <row r="7970">
      <c r="A7970" t="inlineStr">
        <is>
          <t xml:space="preserve">alert </t>
        </is>
      </c>
      <c r="B7970">
        <f>VLOOKUP(690,Requirements!A2:B2967,2,FALSE)</f>
        <v/>
      </c>
    </row>
    <row r="7971">
      <c r="A7971" t="inlineStr">
        <is>
          <t xml:space="preserve">alert </t>
        </is>
      </c>
      <c r="B7971">
        <f>VLOOKUP(692,Requirements!A2:B2967,2,FALSE)</f>
        <v/>
      </c>
    </row>
    <row r="7972">
      <c r="A7972" t="inlineStr">
        <is>
          <t xml:space="preserve">alert </t>
        </is>
      </c>
      <c r="B7972">
        <f>VLOOKUP(702,Requirements!A2:B2967,2,FALSE)</f>
        <v/>
      </c>
    </row>
    <row r="7973">
      <c r="A7973" t="inlineStr">
        <is>
          <t xml:space="preserve">alert </t>
        </is>
      </c>
      <c r="B7973">
        <f>VLOOKUP(706,Requirements!A2:B2967,2,FALSE)</f>
        <v/>
      </c>
    </row>
    <row r="7974">
      <c r="A7974" t="inlineStr">
        <is>
          <t xml:space="preserve">alert </t>
        </is>
      </c>
      <c r="B7974">
        <f>VLOOKUP(707,Requirements!A2:B2967,2,FALSE)</f>
        <v/>
      </c>
    </row>
    <row r="7975">
      <c r="A7975" t="inlineStr">
        <is>
          <t xml:space="preserve">alert </t>
        </is>
      </c>
      <c r="B7975">
        <f>VLOOKUP(798,Requirements!A2:B2967,2,FALSE)</f>
        <v/>
      </c>
    </row>
    <row r="7976">
      <c r="A7976" t="inlineStr">
        <is>
          <t xml:space="preserve">alert </t>
        </is>
      </c>
      <c r="B7976">
        <f>VLOOKUP(800,Requirements!A2:B2967,2,FALSE)</f>
        <v/>
      </c>
    </row>
    <row r="7977">
      <c r="A7977" t="inlineStr">
        <is>
          <t xml:space="preserve">alert </t>
        </is>
      </c>
      <c r="B7977">
        <f>VLOOKUP(801,Requirements!A2:B2967,2,FALSE)</f>
        <v/>
      </c>
    </row>
    <row r="7978">
      <c r="A7978" t="inlineStr">
        <is>
          <t xml:space="preserve">alert </t>
        </is>
      </c>
      <c r="B7978">
        <f>VLOOKUP(803,Requirements!A2:B2967,2,FALSE)</f>
        <v/>
      </c>
    </row>
    <row r="7979">
      <c r="A7979" t="inlineStr">
        <is>
          <t xml:space="preserve">alert </t>
        </is>
      </c>
      <c r="B7979">
        <f>VLOOKUP(804,Requirements!A2:B2967,2,FALSE)</f>
        <v/>
      </c>
    </row>
    <row r="7980">
      <c r="A7980" t="inlineStr">
        <is>
          <t xml:space="preserve">alert </t>
        </is>
      </c>
      <c r="B7980">
        <f>VLOOKUP(834,Requirements!A2:B2967,2,FALSE)</f>
        <v/>
      </c>
    </row>
    <row r="7981">
      <c r="A7981" t="inlineStr">
        <is>
          <t xml:space="preserve">alert </t>
        </is>
      </c>
      <c r="B7981">
        <f>VLOOKUP(840,Requirements!A2:B2967,2,FALSE)</f>
        <v/>
      </c>
    </row>
    <row r="7982">
      <c r="A7982" t="inlineStr">
        <is>
          <t xml:space="preserve">alert </t>
        </is>
      </c>
      <c r="B7982">
        <f>VLOOKUP(849,Requirements!A2:B2967,2,FALSE)</f>
        <v/>
      </c>
    </row>
    <row r="7983">
      <c r="A7983" t="inlineStr">
        <is>
          <t xml:space="preserve">alert </t>
        </is>
      </c>
      <c r="B7983">
        <f>VLOOKUP(884,Requirements!A2:B2967,2,FALSE)</f>
        <v/>
      </c>
    </row>
    <row r="7984">
      <c r="A7984" t="inlineStr">
        <is>
          <t xml:space="preserve">alert </t>
        </is>
      </c>
      <c r="B7984">
        <f>VLOOKUP(928,Requirements!A2:B2967,2,FALSE)</f>
        <v/>
      </c>
    </row>
    <row r="7985">
      <c r="A7985" t="inlineStr">
        <is>
          <t xml:space="preserve">alert </t>
        </is>
      </c>
      <c r="B7985">
        <f>VLOOKUP(934,Requirements!A2:B2967,2,FALSE)</f>
        <v/>
      </c>
    </row>
    <row r="7986">
      <c r="A7986" t="inlineStr">
        <is>
          <t xml:space="preserve">alert </t>
        </is>
      </c>
      <c r="B7986">
        <f>VLOOKUP(937,Requirements!A2:B2967,2,FALSE)</f>
        <v/>
      </c>
    </row>
    <row r="7987">
      <c r="A7987" t="inlineStr">
        <is>
          <t xml:space="preserve">alert </t>
        </is>
      </c>
      <c r="B7987">
        <f>VLOOKUP(949,Requirements!A2:B2967,2,FALSE)</f>
        <v/>
      </c>
    </row>
    <row r="7988">
      <c r="A7988" t="inlineStr">
        <is>
          <t xml:space="preserve">alert </t>
        </is>
      </c>
      <c r="B7988">
        <f>VLOOKUP(957,Requirements!A2:B2967,2,FALSE)</f>
        <v/>
      </c>
    </row>
    <row r="7989">
      <c r="A7989" t="inlineStr">
        <is>
          <t xml:space="preserve">alert </t>
        </is>
      </c>
      <c r="B7989">
        <f>VLOOKUP(959,Requirements!A2:B2967,2,FALSE)</f>
        <v/>
      </c>
    </row>
    <row r="7990">
      <c r="A7990" t="inlineStr">
        <is>
          <t xml:space="preserve">alert </t>
        </is>
      </c>
      <c r="B7990">
        <f>VLOOKUP(975,Requirements!A2:B2967,2,FALSE)</f>
        <v/>
      </c>
    </row>
    <row r="7991">
      <c r="A7991" t="inlineStr">
        <is>
          <t xml:space="preserve">alert </t>
        </is>
      </c>
      <c r="B7991">
        <f>VLOOKUP(993,Requirements!A2:B2967,2,FALSE)</f>
        <v/>
      </c>
    </row>
    <row r="7992">
      <c r="A7992" t="inlineStr">
        <is>
          <t xml:space="preserve">alert </t>
        </is>
      </c>
      <c r="B7992">
        <f>VLOOKUP(996,Requirements!A2:B2967,2,FALSE)</f>
        <v/>
      </c>
    </row>
    <row r="7993">
      <c r="A7993" t="inlineStr">
        <is>
          <t xml:space="preserve">alert </t>
        </is>
      </c>
      <c r="B7993">
        <f>VLOOKUP(1000,Requirements!A2:B2967,2,FALSE)</f>
        <v/>
      </c>
    </row>
    <row r="7994">
      <c r="A7994" t="inlineStr">
        <is>
          <t xml:space="preserve">alert </t>
        </is>
      </c>
      <c r="B7994">
        <f>VLOOKUP(1002,Requirements!A2:B2967,2,FALSE)</f>
        <v/>
      </c>
    </row>
    <row r="7995">
      <c r="A7995" t="inlineStr">
        <is>
          <t xml:space="preserve">alert </t>
        </is>
      </c>
      <c r="B7995">
        <f>VLOOKUP(1005,Requirements!A2:B2967,2,FALSE)</f>
        <v/>
      </c>
    </row>
    <row r="7996">
      <c r="A7996" t="inlineStr">
        <is>
          <t xml:space="preserve">alert </t>
        </is>
      </c>
      <c r="B7996">
        <f>VLOOKUP(1021,Requirements!A2:B2967,2,FALSE)</f>
        <v/>
      </c>
    </row>
    <row r="7997">
      <c r="A7997" t="inlineStr">
        <is>
          <t xml:space="preserve">alert </t>
        </is>
      </c>
      <c r="B7997">
        <f>VLOOKUP(1068,Requirements!A2:B2967,2,FALSE)</f>
        <v/>
      </c>
    </row>
    <row r="7998">
      <c r="A7998" t="inlineStr">
        <is>
          <t xml:space="preserve">alert </t>
        </is>
      </c>
      <c r="B7998">
        <f>VLOOKUP(1088,Requirements!A2:B2967,2,FALSE)</f>
        <v/>
      </c>
    </row>
    <row r="7999">
      <c r="A7999" t="inlineStr">
        <is>
          <t xml:space="preserve">alert </t>
        </is>
      </c>
      <c r="B7999">
        <f>VLOOKUP(1089,Requirements!A2:B2967,2,FALSE)</f>
        <v/>
      </c>
    </row>
    <row r="8000">
      <c r="A8000" t="inlineStr">
        <is>
          <t xml:space="preserve">alert </t>
        </is>
      </c>
      <c r="B8000">
        <f>VLOOKUP(1103,Requirements!A2:B2967,2,FALSE)</f>
        <v/>
      </c>
    </row>
    <row r="8001">
      <c r="A8001" t="inlineStr">
        <is>
          <t xml:space="preserve">alert </t>
        </is>
      </c>
      <c r="B8001">
        <f>VLOOKUP(1116,Requirements!A2:B2967,2,FALSE)</f>
        <v/>
      </c>
    </row>
    <row r="8002">
      <c r="A8002" t="inlineStr">
        <is>
          <t xml:space="preserve">alert </t>
        </is>
      </c>
      <c r="B8002">
        <f>VLOOKUP(1120,Requirements!A2:B2967,2,FALSE)</f>
        <v/>
      </c>
    </row>
    <row r="8003">
      <c r="A8003" t="inlineStr">
        <is>
          <t xml:space="preserve">alert </t>
        </is>
      </c>
      <c r="B8003">
        <f>VLOOKUP(1148,Requirements!A2:B2967,2,FALSE)</f>
        <v/>
      </c>
    </row>
    <row r="8004">
      <c r="A8004" t="inlineStr">
        <is>
          <t xml:space="preserve">alert </t>
        </is>
      </c>
      <c r="B8004">
        <f>VLOOKUP(1152,Requirements!A2:B2967,2,FALSE)</f>
        <v/>
      </c>
    </row>
    <row r="8005">
      <c r="A8005" t="inlineStr">
        <is>
          <t xml:space="preserve">alert </t>
        </is>
      </c>
      <c r="B8005">
        <f>VLOOKUP(1154,Requirements!A2:B2967,2,FALSE)</f>
        <v/>
      </c>
    </row>
    <row r="8006">
      <c r="A8006" t="inlineStr">
        <is>
          <t xml:space="preserve">alert </t>
        </is>
      </c>
      <c r="B8006">
        <f>VLOOKUP(1159,Requirements!A2:B2967,2,FALSE)</f>
        <v/>
      </c>
    </row>
    <row r="8007">
      <c r="A8007" t="inlineStr">
        <is>
          <t xml:space="preserve">alert </t>
        </is>
      </c>
      <c r="B8007">
        <f>VLOOKUP(1191,Requirements!A2:B2967,2,FALSE)</f>
        <v/>
      </c>
    </row>
    <row r="8008">
      <c r="A8008" t="inlineStr">
        <is>
          <t xml:space="preserve">alert </t>
        </is>
      </c>
      <c r="B8008">
        <f>VLOOKUP(1196,Requirements!A2:B2967,2,FALSE)</f>
        <v/>
      </c>
    </row>
    <row r="8009">
      <c r="A8009" t="inlineStr">
        <is>
          <t xml:space="preserve">alert </t>
        </is>
      </c>
      <c r="B8009">
        <f>VLOOKUP(1197,Requirements!A2:B2967,2,FALSE)</f>
        <v/>
      </c>
    </row>
    <row r="8010">
      <c r="A8010" t="inlineStr">
        <is>
          <t xml:space="preserve">alert </t>
        </is>
      </c>
      <c r="B8010">
        <f>VLOOKUP(1208,Requirements!A2:B2967,2,FALSE)</f>
        <v/>
      </c>
    </row>
    <row r="8011">
      <c r="A8011" t="inlineStr">
        <is>
          <t xml:space="preserve">alert </t>
        </is>
      </c>
      <c r="B8011">
        <f>VLOOKUP(1211,Requirements!A2:B2967,2,FALSE)</f>
        <v/>
      </c>
    </row>
    <row r="8012">
      <c r="A8012" t="inlineStr">
        <is>
          <t xml:space="preserve">alert </t>
        </is>
      </c>
      <c r="B8012">
        <f>VLOOKUP(1246,Requirements!A2:B2967,2,FALSE)</f>
        <v/>
      </c>
    </row>
    <row r="8013">
      <c r="A8013" t="inlineStr">
        <is>
          <t xml:space="preserve">alert </t>
        </is>
      </c>
      <c r="B8013">
        <f>VLOOKUP(1341,Requirements!A2:B2967,2,FALSE)</f>
        <v/>
      </c>
    </row>
    <row r="8014">
      <c r="A8014" t="inlineStr">
        <is>
          <t xml:space="preserve">alert </t>
        </is>
      </c>
      <c r="B8014">
        <f>VLOOKUP(1343,Requirements!A2:B2967,2,FALSE)</f>
        <v/>
      </c>
    </row>
    <row r="8015">
      <c r="A8015" t="inlineStr">
        <is>
          <t xml:space="preserve">alert </t>
        </is>
      </c>
      <c r="B8015">
        <f>VLOOKUP(1357,Requirements!A2:B2967,2,FALSE)</f>
        <v/>
      </c>
    </row>
    <row r="8016">
      <c r="A8016" t="inlineStr">
        <is>
          <t xml:space="preserve">alert </t>
        </is>
      </c>
      <c r="B8016">
        <f>VLOOKUP(1358,Requirements!A2:B2967,2,FALSE)</f>
        <v/>
      </c>
    </row>
    <row r="8017">
      <c r="A8017" t="inlineStr">
        <is>
          <t xml:space="preserve">alert </t>
        </is>
      </c>
      <c r="B8017">
        <f>VLOOKUP(1359,Requirements!A2:B2967,2,FALSE)</f>
        <v/>
      </c>
    </row>
    <row r="8018">
      <c r="A8018" t="inlineStr">
        <is>
          <t xml:space="preserve">alert </t>
        </is>
      </c>
      <c r="B8018">
        <f>VLOOKUP(1360,Requirements!A2:B2967,2,FALSE)</f>
        <v/>
      </c>
    </row>
    <row r="8019">
      <c r="A8019" t="inlineStr">
        <is>
          <t xml:space="preserve">alert </t>
        </is>
      </c>
      <c r="B8019">
        <f>VLOOKUP(1361,Requirements!A2:B2967,2,FALSE)</f>
        <v/>
      </c>
    </row>
    <row r="8020">
      <c r="A8020" t="inlineStr">
        <is>
          <t xml:space="preserve">alert </t>
        </is>
      </c>
      <c r="B8020">
        <f>VLOOKUP(1362,Requirements!A2:B2967,2,FALSE)</f>
        <v/>
      </c>
    </row>
    <row r="8021">
      <c r="A8021" t="inlineStr">
        <is>
          <t xml:space="preserve">alert </t>
        </is>
      </c>
      <c r="B8021">
        <f>VLOOKUP(1363,Requirements!A2:B2967,2,FALSE)</f>
        <v/>
      </c>
    </row>
    <row r="8022">
      <c r="A8022" t="inlineStr">
        <is>
          <t xml:space="preserve">alert </t>
        </is>
      </c>
      <c r="B8022">
        <f>VLOOKUP(1364,Requirements!A2:B2967,2,FALSE)</f>
        <v/>
      </c>
    </row>
    <row r="8023">
      <c r="A8023" t="inlineStr">
        <is>
          <t xml:space="preserve">alert </t>
        </is>
      </c>
      <c r="B8023">
        <f>VLOOKUP(1365,Requirements!A2:B2967,2,FALSE)</f>
        <v/>
      </c>
    </row>
    <row r="8024">
      <c r="A8024" t="inlineStr">
        <is>
          <t xml:space="preserve">alert </t>
        </is>
      </c>
      <c r="B8024">
        <f>VLOOKUP(1379,Requirements!A2:B2967,2,FALSE)</f>
        <v/>
      </c>
    </row>
    <row r="8025">
      <c r="A8025" t="inlineStr">
        <is>
          <t xml:space="preserve">alert </t>
        </is>
      </c>
      <c r="B8025">
        <f>VLOOKUP(1426,Requirements!A2:B2967,2,FALSE)</f>
        <v/>
      </c>
    </row>
    <row r="8026">
      <c r="A8026" t="inlineStr">
        <is>
          <t xml:space="preserve">alert </t>
        </is>
      </c>
      <c r="B8026">
        <f>VLOOKUP(1502,Requirements!A2:B2967,2,FALSE)</f>
        <v/>
      </c>
    </row>
    <row r="8027">
      <c r="A8027" t="inlineStr">
        <is>
          <t xml:space="preserve">alert </t>
        </is>
      </c>
      <c r="B8027">
        <f>VLOOKUP(1547,Requirements!A2:B2967,2,FALSE)</f>
        <v/>
      </c>
    </row>
    <row r="8028">
      <c r="A8028" t="inlineStr">
        <is>
          <t xml:space="preserve">alert </t>
        </is>
      </c>
      <c r="B8028">
        <f>VLOOKUP(1598,Requirements!A2:B2967,2,FALSE)</f>
        <v/>
      </c>
    </row>
    <row r="8029">
      <c r="A8029" t="inlineStr">
        <is>
          <t xml:space="preserve">alert </t>
        </is>
      </c>
      <c r="B8029">
        <f>VLOOKUP(1619,Requirements!A2:B2967,2,FALSE)</f>
        <v/>
      </c>
    </row>
    <row r="8030">
      <c r="A8030" t="inlineStr">
        <is>
          <t xml:space="preserve">alert </t>
        </is>
      </c>
      <c r="B8030">
        <f>VLOOKUP(1621,Requirements!A2:B2967,2,FALSE)</f>
        <v/>
      </c>
    </row>
    <row r="8031">
      <c r="A8031" t="inlineStr">
        <is>
          <t xml:space="preserve">alert </t>
        </is>
      </c>
      <c r="B8031">
        <f>VLOOKUP(1639,Requirements!A2:B2967,2,FALSE)</f>
        <v/>
      </c>
    </row>
    <row r="8032">
      <c r="A8032" t="inlineStr">
        <is>
          <t xml:space="preserve">alert </t>
        </is>
      </c>
      <c r="B8032">
        <f>VLOOKUP(1721,Requirements!A2:B2967,2,FALSE)</f>
        <v/>
      </c>
    </row>
    <row r="8033">
      <c r="A8033" t="inlineStr">
        <is>
          <t xml:space="preserve">alert </t>
        </is>
      </c>
      <c r="B8033">
        <f>VLOOKUP(1747,Requirements!A2:B2967,2,FALSE)</f>
        <v/>
      </c>
    </row>
    <row r="8034">
      <c r="A8034" t="inlineStr">
        <is>
          <t xml:space="preserve">alert </t>
        </is>
      </c>
      <c r="B8034">
        <f>VLOOKUP(1754,Requirements!A2:B2967,2,FALSE)</f>
        <v/>
      </c>
    </row>
    <row r="8035">
      <c r="A8035" t="inlineStr">
        <is>
          <t xml:space="preserve">alert </t>
        </is>
      </c>
      <c r="B8035">
        <f>VLOOKUP(1781,Requirements!A2:B2967,2,FALSE)</f>
        <v/>
      </c>
    </row>
    <row r="8036">
      <c r="A8036" t="inlineStr">
        <is>
          <t xml:space="preserve">alert </t>
        </is>
      </c>
      <c r="B8036">
        <f>VLOOKUP(1801,Requirements!A2:B2967,2,FALSE)</f>
        <v/>
      </c>
    </row>
    <row r="8037">
      <c r="A8037" t="inlineStr">
        <is>
          <t xml:space="preserve">alert </t>
        </is>
      </c>
      <c r="B8037">
        <f>VLOOKUP(1813,Requirements!A2:B2967,2,FALSE)</f>
        <v/>
      </c>
    </row>
    <row r="8038">
      <c r="A8038" t="inlineStr">
        <is>
          <t xml:space="preserve">alert </t>
        </is>
      </c>
      <c r="B8038">
        <f>VLOOKUP(1814,Requirements!A2:B2967,2,FALSE)</f>
        <v/>
      </c>
    </row>
    <row r="8039">
      <c r="A8039" t="inlineStr">
        <is>
          <t xml:space="preserve">alert </t>
        </is>
      </c>
      <c r="B8039">
        <f>VLOOKUP(1817,Requirements!A2:B2967,2,FALSE)</f>
        <v/>
      </c>
    </row>
    <row r="8040">
      <c r="A8040" t="inlineStr">
        <is>
          <t xml:space="preserve">alert </t>
        </is>
      </c>
      <c r="B8040">
        <f>VLOOKUP(1821,Requirements!A2:B2967,2,FALSE)</f>
        <v/>
      </c>
    </row>
    <row r="8041">
      <c r="A8041" t="inlineStr">
        <is>
          <t xml:space="preserve">alert </t>
        </is>
      </c>
      <c r="B8041">
        <f>VLOOKUP(1827,Requirements!A2:B2967,2,FALSE)</f>
        <v/>
      </c>
    </row>
    <row r="8042">
      <c r="A8042" t="inlineStr">
        <is>
          <t xml:space="preserve">alert </t>
        </is>
      </c>
      <c r="B8042">
        <f>VLOOKUP(1830,Requirements!A2:B2967,2,FALSE)</f>
        <v/>
      </c>
    </row>
    <row r="8043">
      <c r="A8043" t="inlineStr">
        <is>
          <t xml:space="preserve">alert </t>
        </is>
      </c>
      <c r="B8043">
        <f>VLOOKUP(1858,Requirements!A2:B2967,2,FALSE)</f>
        <v/>
      </c>
    </row>
    <row r="8044">
      <c r="A8044" t="inlineStr">
        <is>
          <t xml:space="preserve">alert </t>
        </is>
      </c>
      <c r="B8044">
        <f>VLOOKUP(1913,Requirements!A2:B2967,2,FALSE)</f>
        <v/>
      </c>
    </row>
    <row r="8045">
      <c r="A8045" t="inlineStr">
        <is>
          <t xml:space="preserve">alert </t>
        </is>
      </c>
      <c r="B8045">
        <f>VLOOKUP(1931,Requirements!A2:B2967,2,FALSE)</f>
        <v/>
      </c>
    </row>
    <row r="8046">
      <c r="A8046" t="inlineStr">
        <is>
          <t xml:space="preserve">alert </t>
        </is>
      </c>
      <c r="B8046">
        <f>VLOOKUP(1943,Requirements!A2:B2967,2,FALSE)</f>
        <v/>
      </c>
    </row>
    <row r="8047">
      <c r="A8047" t="inlineStr">
        <is>
          <t xml:space="preserve">alert </t>
        </is>
      </c>
      <c r="B8047">
        <f>VLOOKUP(1945,Requirements!A2:B2967,2,FALSE)</f>
        <v/>
      </c>
    </row>
    <row r="8048">
      <c r="A8048" t="inlineStr">
        <is>
          <t xml:space="preserve">alert </t>
        </is>
      </c>
      <c r="B8048">
        <f>VLOOKUP(2008,Requirements!A2:B2967,2,FALSE)</f>
        <v/>
      </c>
    </row>
    <row r="8049">
      <c r="A8049" t="inlineStr">
        <is>
          <t xml:space="preserve">alert </t>
        </is>
      </c>
      <c r="B8049">
        <f>VLOOKUP(2040,Requirements!A2:B2967,2,FALSE)</f>
        <v/>
      </c>
    </row>
    <row r="8050">
      <c r="A8050" t="inlineStr">
        <is>
          <t xml:space="preserve">alert </t>
        </is>
      </c>
      <c r="B8050">
        <f>VLOOKUP(2048,Requirements!A2:B2967,2,FALSE)</f>
        <v/>
      </c>
    </row>
    <row r="8051">
      <c r="A8051" t="inlineStr">
        <is>
          <t xml:space="preserve">alert </t>
        </is>
      </c>
      <c r="B8051">
        <f>VLOOKUP(2050,Requirements!A2:B2967,2,FALSE)</f>
        <v/>
      </c>
    </row>
    <row r="8052">
      <c r="A8052" t="inlineStr">
        <is>
          <t xml:space="preserve">alert </t>
        </is>
      </c>
      <c r="B8052">
        <f>VLOOKUP(2057,Requirements!A2:B2967,2,FALSE)</f>
        <v/>
      </c>
    </row>
    <row r="8053">
      <c r="A8053" t="inlineStr">
        <is>
          <t xml:space="preserve">alert </t>
        </is>
      </c>
      <c r="B8053">
        <f>VLOOKUP(2061,Requirements!A2:B2967,2,FALSE)</f>
        <v/>
      </c>
    </row>
    <row r="8054">
      <c r="A8054" t="inlineStr">
        <is>
          <t xml:space="preserve">alert </t>
        </is>
      </c>
      <c r="B8054">
        <f>VLOOKUP(2064,Requirements!A2:B2967,2,FALSE)</f>
        <v/>
      </c>
    </row>
    <row r="8055">
      <c r="A8055" t="inlineStr">
        <is>
          <t xml:space="preserve">alert </t>
        </is>
      </c>
      <c r="B8055">
        <f>VLOOKUP(2067,Requirements!A2:B2967,2,FALSE)</f>
        <v/>
      </c>
    </row>
    <row r="8056">
      <c r="A8056" t="inlineStr">
        <is>
          <t xml:space="preserve">alert </t>
        </is>
      </c>
      <c r="B8056">
        <f>VLOOKUP(2069,Requirements!A2:B2967,2,FALSE)</f>
        <v/>
      </c>
    </row>
    <row r="8057">
      <c r="A8057" t="inlineStr">
        <is>
          <t xml:space="preserve">alert </t>
        </is>
      </c>
      <c r="B8057">
        <f>VLOOKUP(2085,Requirements!A2:B2967,2,FALSE)</f>
        <v/>
      </c>
    </row>
    <row r="8058">
      <c r="A8058" t="inlineStr">
        <is>
          <t xml:space="preserve">alert </t>
        </is>
      </c>
      <c r="B8058">
        <f>VLOOKUP(2122,Requirements!A2:B2967,2,FALSE)</f>
        <v/>
      </c>
    </row>
    <row r="8059">
      <c r="A8059" t="inlineStr">
        <is>
          <t xml:space="preserve">alert </t>
        </is>
      </c>
      <c r="B8059">
        <f>VLOOKUP(2211,Requirements!A2:B2967,2,FALSE)</f>
        <v/>
      </c>
    </row>
    <row r="8060">
      <c r="A8060" t="inlineStr">
        <is>
          <t xml:space="preserve">alert </t>
        </is>
      </c>
      <c r="B8060">
        <f>VLOOKUP(2232,Requirements!A2:B2967,2,FALSE)</f>
        <v/>
      </c>
    </row>
    <row r="8061">
      <c r="A8061" t="inlineStr">
        <is>
          <t xml:space="preserve">alert </t>
        </is>
      </c>
      <c r="B8061">
        <f>VLOOKUP(2236,Requirements!A2:B2967,2,FALSE)</f>
        <v/>
      </c>
    </row>
    <row r="8062">
      <c r="A8062" t="inlineStr">
        <is>
          <t xml:space="preserve">alert </t>
        </is>
      </c>
      <c r="B8062">
        <f>VLOOKUP(2242,Requirements!A2:B2967,2,FALSE)</f>
        <v/>
      </c>
    </row>
    <row r="8063">
      <c r="A8063" t="inlineStr">
        <is>
          <t xml:space="preserve">alert </t>
        </is>
      </c>
      <c r="B8063">
        <f>VLOOKUP(2244,Requirements!A2:B2967,2,FALSE)</f>
        <v/>
      </c>
    </row>
    <row r="8064">
      <c r="A8064" t="inlineStr">
        <is>
          <t xml:space="preserve">alert </t>
        </is>
      </c>
      <c r="B8064">
        <f>VLOOKUP(2245,Requirements!A2:B2967,2,FALSE)</f>
        <v/>
      </c>
    </row>
    <row r="8065">
      <c r="A8065" t="inlineStr">
        <is>
          <t xml:space="preserve">alert </t>
        </is>
      </c>
      <c r="B8065">
        <f>VLOOKUP(2247,Requirements!A2:B2967,2,FALSE)</f>
        <v/>
      </c>
    </row>
    <row r="8066">
      <c r="A8066" t="inlineStr">
        <is>
          <t xml:space="preserve">alert </t>
        </is>
      </c>
      <c r="B8066">
        <f>VLOOKUP(2278,Requirements!A2:B2967,2,FALSE)</f>
        <v/>
      </c>
    </row>
    <row r="8067">
      <c r="A8067" t="inlineStr">
        <is>
          <t xml:space="preserve">alert </t>
        </is>
      </c>
      <c r="B8067">
        <f>VLOOKUP(2399,Requirements!A2:B2967,2,FALSE)</f>
        <v/>
      </c>
    </row>
    <row r="8068">
      <c r="A8068" t="inlineStr">
        <is>
          <t xml:space="preserve">alert </t>
        </is>
      </c>
      <c r="B8068">
        <f>VLOOKUP(2418,Requirements!A2:B2967,2,FALSE)</f>
        <v/>
      </c>
    </row>
    <row r="8069">
      <c r="A8069" t="inlineStr">
        <is>
          <t xml:space="preserve">alert </t>
        </is>
      </c>
      <c r="B8069">
        <f>VLOOKUP(2419,Requirements!A2:B2967,2,FALSE)</f>
        <v/>
      </c>
    </row>
    <row r="8070">
      <c r="A8070" t="inlineStr">
        <is>
          <t xml:space="preserve">alert </t>
        </is>
      </c>
      <c r="B8070">
        <f>VLOOKUP(2420,Requirements!A2:B2967,2,FALSE)</f>
        <v/>
      </c>
    </row>
    <row r="8071">
      <c r="A8071" t="inlineStr">
        <is>
          <t xml:space="preserve">alert </t>
        </is>
      </c>
      <c r="B8071">
        <f>VLOOKUP(2440,Requirements!A2:B2967,2,FALSE)</f>
        <v/>
      </c>
    </row>
    <row r="8072">
      <c r="A8072" t="inlineStr">
        <is>
          <t xml:space="preserve">alert </t>
        </is>
      </c>
      <c r="B8072">
        <f>VLOOKUP(2447,Requirements!A2:B2967,2,FALSE)</f>
        <v/>
      </c>
    </row>
    <row r="8073">
      <c r="A8073" t="inlineStr">
        <is>
          <t xml:space="preserve">alert </t>
        </is>
      </c>
      <c r="B8073">
        <f>VLOOKUP(2452,Requirements!A2:B2967,2,FALSE)</f>
        <v/>
      </c>
    </row>
    <row r="8074">
      <c r="A8074" t="inlineStr">
        <is>
          <t xml:space="preserve">alert </t>
        </is>
      </c>
      <c r="B8074">
        <f>VLOOKUP(2455,Requirements!A2:B2967,2,FALSE)</f>
        <v/>
      </c>
    </row>
    <row r="8075">
      <c r="A8075" t="inlineStr">
        <is>
          <t xml:space="preserve">alert </t>
        </is>
      </c>
      <c r="B8075">
        <f>VLOOKUP(2458,Requirements!A2:B2967,2,FALSE)</f>
        <v/>
      </c>
    </row>
    <row r="8076">
      <c r="A8076" t="inlineStr">
        <is>
          <t xml:space="preserve">alert </t>
        </is>
      </c>
      <c r="B8076">
        <f>VLOOKUP(2463,Requirements!A2:B2967,2,FALSE)</f>
        <v/>
      </c>
    </row>
    <row r="8077">
      <c r="A8077" t="inlineStr">
        <is>
          <t xml:space="preserve">alert </t>
        </is>
      </c>
      <c r="B8077">
        <f>VLOOKUP(2467,Requirements!A2:B2967,2,FALSE)</f>
        <v/>
      </c>
    </row>
    <row r="8078">
      <c r="A8078" t="inlineStr">
        <is>
          <t xml:space="preserve">alert </t>
        </is>
      </c>
      <c r="B8078">
        <f>VLOOKUP(2484,Requirements!A2:B2967,2,FALSE)</f>
        <v/>
      </c>
    </row>
    <row r="8079">
      <c r="A8079" t="inlineStr">
        <is>
          <t xml:space="preserve">alert </t>
        </is>
      </c>
      <c r="B8079">
        <f>VLOOKUP(2485,Requirements!A2:B2967,2,FALSE)</f>
        <v/>
      </c>
    </row>
    <row r="8080">
      <c r="A8080" t="inlineStr">
        <is>
          <t xml:space="preserve">alert </t>
        </is>
      </c>
      <c r="B8080">
        <f>VLOOKUP(2494,Requirements!A2:B2967,2,FALSE)</f>
        <v/>
      </c>
    </row>
    <row r="8081">
      <c r="A8081" t="inlineStr">
        <is>
          <t xml:space="preserve">alert </t>
        </is>
      </c>
      <c r="B8081">
        <f>VLOOKUP(2526,Requirements!A2:B2967,2,FALSE)</f>
        <v/>
      </c>
    </row>
    <row r="8082">
      <c r="A8082" t="inlineStr">
        <is>
          <t xml:space="preserve">alert </t>
        </is>
      </c>
      <c r="B8082">
        <f>VLOOKUP(2699,Requirements!A2:B2967,2,FALSE)</f>
        <v/>
      </c>
    </row>
    <row r="8083">
      <c r="A8083" t="inlineStr">
        <is>
          <t xml:space="preserve">alert </t>
        </is>
      </c>
      <c r="B8083">
        <f>VLOOKUP(2702,Requirements!A2:B2967,2,FALSE)</f>
        <v/>
      </c>
    </row>
    <row r="8084">
      <c r="A8084" t="inlineStr">
        <is>
          <t xml:space="preserve">alert </t>
        </is>
      </c>
      <c r="B8084">
        <f>VLOOKUP(2707,Requirements!A2:B2967,2,FALSE)</f>
        <v/>
      </c>
    </row>
    <row r="8085">
      <c r="A8085" t="inlineStr">
        <is>
          <t xml:space="preserve">alert </t>
        </is>
      </c>
      <c r="B8085">
        <f>VLOOKUP(2710,Requirements!A2:B2967,2,FALSE)</f>
        <v/>
      </c>
    </row>
    <row r="8086">
      <c r="A8086" t="inlineStr">
        <is>
          <t xml:space="preserve">alert </t>
        </is>
      </c>
      <c r="B8086">
        <f>VLOOKUP(2713,Requirements!A2:B2967,2,FALSE)</f>
        <v/>
      </c>
    </row>
    <row r="8087">
      <c r="A8087" t="inlineStr">
        <is>
          <t xml:space="preserve">alert </t>
        </is>
      </c>
      <c r="B8087">
        <f>VLOOKUP(2722,Requirements!A2:B2967,2,FALSE)</f>
        <v/>
      </c>
    </row>
    <row r="8088">
      <c r="A8088" t="inlineStr">
        <is>
          <t xml:space="preserve">alert </t>
        </is>
      </c>
      <c r="B8088">
        <f>VLOOKUP(2723,Requirements!A2:B2967,2,FALSE)</f>
        <v/>
      </c>
    </row>
    <row r="8089">
      <c r="A8089" t="inlineStr">
        <is>
          <t xml:space="preserve">alert </t>
        </is>
      </c>
      <c r="B8089">
        <f>VLOOKUP(2760,Requirements!A2:B2967,2,FALSE)</f>
        <v/>
      </c>
    </row>
    <row r="8090">
      <c r="A8090" t="inlineStr">
        <is>
          <t xml:space="preserve">alert </t>
        </is>
      </c>
      <c r="B8090">
        <f>VLOOKUP(2795,Requirements!A2:B2967,2,FALSE)</f>
        <v/>
      </c>
    </row>
    <row r="8091">
      <c r="A8091" t="inlineStr">
        <is>
          <t xml:space="preserve">alert </t>
        </is>
      </c>
      <c r="B8091">
        <f>VLOOKUP(2830,Requirements!A2:B2967,2,FALSE)</f>
        <v/>
      </c>
    </row>
    <row r="8092">
      <c r="A8092" t="inlineStr">
        <is>
          <t xml:space="preserve">alert </t>
        </is>
      </c>
      <c r="B8092">
        <f>VLOOKUP(2846,Requirements!A2:B2967,2,FALSE)</f>
        <v/>
      </c>
    </row>
    <row r="8093">
      <c r="A8093" t="inlineStr">
        <is>
          <t xml:space="preserve">alert </t>
        </is>
      </c>
      <c r="B8093">
        <f>VLOOKUP(2858,Requirements!A2:B2967,2,FALSE)</f>
        <v/>
      </c>
    </row>
    <row r="8094">
      <c r="A8094" t="inlineStr">
        <is>
          <t xml:space="preserve">alert </t>
        </is>
      </c>
      <c r="B8094">
        <f>VLOOKUP(2873,Requirements!A2:B2967,2,FALSE)</f>
        <v/>
      </c>
    </row>
    <row r="8095">
      <c r="A8095" t="inlineStr">
        <is>
          <t xml:space="preserve">alert </t>
        </is>
      </c>
      <c r="B8095">
        <f>VLOOKUP(2878,Requirements!A2:B2967,2,FALSE)</f>
        <v/>
      </c>
    </row>
    <row r="8096">
      <c r="A8096" t="inlineStr">
        <is>
          <t xml:space="preserve">alert </t>
        </is>
      </c>
      <c r="B8096">
        <f>VLOOKUP(2897,Requirements!A2:B2967,2,FALSE)</f>
        <v/>
      </c>
    </row>
    <row r="8097">
      <c r="A8097" t="inlineStr">
        <is>
          <t xml:space="preserve">alert </t>
        </is>
      </c>
      <c r="B8097">
        <f>VLOOKUP(2907,Requirements!A2:B2967,2,FALSE)</f>
        <v/>
      </c>
    </row>
    <row r="8098">
      <c r="A8098" t="inlineStr">
        <is>
          <t xml:space="preserve">alert </t>
        </is>
      </c>
      <c r="B8098">
        <f>VLOOKUP(2908,Requirements!A2:B2967,2,FALSE)</f>
        <v/>
      </c>
    </row>
    <row r="8099">
      <c r="A8099" t="inlineStr">
        <is>
          <t xml:space="preserve">alert </t>
        </is>
      </c>
      <c r="B8099">
        <f>VLOOKUP(2909,Requirements!A2:B2967,2,FALSE)</f>
        <v/>
      </c>
    </row>
    <row r="8100">
      <c r="A8100" t="inlineStr">
        <is>
          <t xml:space="preserve">alert </t>
        </is>
      </c>
      <c r="B8100">
        <f>VLOOKUP(2914,Requirements!A2:B2967,2,FALSE)</f>
        <v/>
      </c>
    </row>
    <row r="8101">
      <c r="A8101" t="inlineStr">
        <is>
          <t xml:space="preserve">alert </t>
        </is>
      </c>
      <c r="B8101">
        <f>VLOOKUP(2937,Requirements!A2:B2967,2,FALSE)</f>
        <v/>
      </c>
    </row>
    <row r="8102">
      <c r="A8102" t="inlineStr">
        <is>
          <t xml:space="preserve">alert </t>
        </is>
      </c>
      <c r="B8102">
        <f>VLOOKUP(2965,Requirements!A2:B2967,2,FALSE)</f>
        <v/>
      </c>
    </row>
    <row r="8103">
      <c r="A8103" t="inlineStr">
        <is>
          <t xml:space="preserve">alert </t>
        </is>
      </c>
      <c r="B8103">
        <f>VLOOKUP(2975,Requirements!A2:B2967,2,FALSE)</f>
        <v/>
      </c>
    </row>
    <row r="8104">
      <c r="A8104" t="inlineStr">
        <is>
          <t xml:space="preserve">alert </t>
        </is>
      </c>
      <c r="B8104">
        <f>VLOOKUP(3081,Requirements!A2:B2967,2,FALSE)</f>
        <v/>
      </c>
    </row>
    <row r="8105">
      <c r="A8105" t="inlineStr">
        <is>
          <t xml:space="preserve">alert </t>
        </is>
      </c>
      <c r="B8105">
        <f>VLOOKUP(3093,Requirements!A2:B2967,2,FALSE)</f>
        <v/>
      </c>
    </row>
    <row r="8106">
      <c r="A8106" t="inlineStr">
        <is>
          <t xml:space="preserve">alert </t>
        </is>
      </c>
      <c r="B8106">
        <f>VLOOKUP(3137,Requirements!A2:B2967,2,FALSE)</f>
        <v/>
      </c>
    </row>
    <row r="8107">
      <c r="A8107" t="inlineStr">
        <is>
          <t xml:space="preserve">alert </t>
        </is>
      </c>
      <c r="B8107">
        <f>VLOOKUP(3184,Requirements!A2:B2967,2,FALSE)</f>
        <v/>
      </c>
    </row>
    <row r="8108">
      <c r="A8108" t="inlineStr">
        <is>
          <t xml:space="preserve">specific sound </t>
        </is>
      </c>
      <c r="B8108">
        <f>VLOOKUP(129,Requirements!A2:B2967,2,FALSE)</f>
        <v/>
      </c>
    </row>
    <row r="8109">
      <c r="A8109" t="inlineStr">
        <is>
          <t xml:space="preserve">specific sound </t>
        </is>
      </c>
      <c r="B8109">
        <f>VLOOKUP(176,Requirements!A2:B2967,2,FALSE)</f>
        <v/>
      </c>
    </row>
    <row r="8110">
      <c r="A8110" t="inlineStr">
        <is>
          <t xml:space="preserve">specific sound </t>
        </is>
      </c>
      <c r="B8110">
        <f>VLOOKUP(186,Requirements!A2:B2967,2,FALSE)</f>
        <v/>
      </c>
    </row>
    <row r="8111">
      <c r="A8111" t="inlineStr">
        <is>
          <t xml:space="preserve">specific sound </t>
        </is>
      </c>
      <c r="B8111">
        <f>VLOOKUP(201,Requirements!A2:B2967,2,FALSE)</f>
        <v/>
      </c>
    </row>
    <row r="8112">
      <c r="A8112" t="inlineStr">
        <is>
          <t xml:space="preserve">specific sound </t>
        </is>
      </c>
      <c r="B8112">
        <f>VLOOKUP(928,Requirements!A2:B2967,2,FALSE)</f>
        <v/>
      </c>
    </row>
    <row r="8113">
      <c r="A8113" t="inlineStr">
        <is>
          <t xml:space="preserve">specific sound </t>
        </is>
      </c>
      <c r="B8113">
        <f>VLOOKUP(937,Requirements!A2:B2967,2,FALSE)</f>
        <v/>
      </c>
    </row>
    <row r="8114">
      <c r="A8114" t="inlineStr">
        <is>
          <t xml:space="preserve">text message </t>
        </is>
      </c>
      <c r="B8114">
        <f>VLOOKUP(129,Requirements!A2:B2967,2,FALSE)</f>
        <v/>
      </c>
    </row>
    <row r="8115">
      <c r="A8115" t="inlineStr">
        <is>
          <t xml:space="preserve">text message </t>
        </is>
      </c>
      <c r="B8115">
        <f>VLOOKUP(176,Requirements!A2:B2967,2,FALSE)</f>
        <v/>
      </c>
    </row>
    <row r="8116">
      <c r="A8116" t="inlineStr">
        <is>
          <t xml:space="preserve">text message </t>
        </is>
      </c>
      <c r="B8116">
        <f>VLOOKUP(186,Requirements!A2:B2967,2,FALSE)</f>
        <v/>
      </c>
    </row>
    <row r="8117">
      <c r="A8117" t="inlineStr">
        <is>
          <t xml:space="preserve">text message </t>
        </is>
      </c>
      <c r="B8117">
        <f>VLOOKUP(201,Requirements!A2:B2967,2,FALSE)</f>
        <v/>
      </c>
    </row>
    <row r="8118">
      <c r="A8118" t="inlineStr">
        <is>
          <t xml:space="preserve">text message </t>
        </is>
      </c>
      <c r="B8118">
        <f>VLOOKUP(244,Requirements!A2:B2967,2,FALSE)</f>
        <v/>
      </c>
    </row>
    <row r="8119">
      <c r="A8119" t="inlineStr">
        <is>
          <t xml:space="preserve">text message </t>
        </is>
      </c>
      <c r="B8119">
        <f>VLOOKUP(247,Requirements!A2:B2967,2,FALSE)</f>
        <v/>
      </c>
    </row>
    <row r="8120">
      <c r="A8120" t="inlineStr">
        <is>
          <t xml:space="preserve">text message </t>
        </is>
      </c>
      <c r="B8120">
        <f>VLOOKUP(266,Requirements!A2:B2967,2,FALSE)</f>
        <v/>
      </c>
    </row>
    <row r="8121">
      <c r="A8121" t="inlineStr">
        <is>
          <t xml:space="preserve">text message </t>
        </is>
      </c>
      <c r="B8121">
        <f>VLOOKUP(928,Requirements!A2:B2967,2,FALSE)</f>
        <v/>
      </c>
    </row>
    <row r="8122">
      <c r="A8122" t="inlineStr">
        <is>
          <t xml:space="preserve">text message </t>
        </is>
      </c>
      <c r="B8122">
        <f>VLOOKUP(937,Requirements!A2:B2967,2,FALSE)</f>
        <v/>
      </c>
    </row>
    <row r="8123">
      <c r="A8123" t="inlineStr">
        <is>
          <t xml:space="preserve">text message </t>
        </is>
      </c>
      <c r="B8123">
        <f>VLOOKUP(1480,Requirements!A2:B2967,2,FALSE)</f>
        <v/>
      </c>
    </row>
    <row r="8124">
      <c r="A8124" t="inlineStr">
        <is>
          <t xml:space="preserve">text message </t>
        </is>
      </c>
      <c r="B8124">
        <f>VLOOKUP(1664,Requirements!A2:B2967,2,FALSE)</f>
        <v/>
      </c>
    </row>
    <row r="8125">
      <c r="A8125" t="inlineStr">
        <is>
          <t xml:space="preserve">text message </t>
        </is>
      </c>
      <c r="B8125">
        <f>VLOOKUP(2231,Requirements!A2:B2967,2,FALSE)</f>
        <v/>
      </c>
    </row>
    <row r="8126">
      <c r="A8126" t="inlineStr">
        <is>
          <t xml:space="preserve">text message </t>
        </is>
      </c>
      <c r="B8126">
        <f>VLOOKUP(2382,Requirements!A2:B2967,2,FALSE)</f>
        <v/>
      </c>
    </row>
    <row r="8127">
      <c r="A8127" t="inlineStr">
        <is>
          <t xml:space="preserve">text message </t>
        </is>
      </c>
      <c r="B8127">
        <f>VLOOKUP(2856,Requirements!A2:B2967,2,FALSE)</f>
        <v/>
      </c>
    </row>
    <row r="8128">
      <c r="A8128" t="inlineStr">
        <is>
          <t xml:space="preserve">text message </t>
        </is>
      </c>
      <c r="B8128">
        <f>VLOOKUP(2860,Requirements!A2:B2967,2,FALSE)</f>
        <v/>
      </c>
    </row>
    <row r="8129">
      <c r="A8129" t="inlineStr">
        <is>
          <t xml:space="preserve">text message </t>
        </is>
      </c>
      <c r="B8129">
        <f>VLOOKUP(2873,Requirements!A2:B2967,2,FALSE)</f>
        <v/>
      </c>
    </row>
    <row r="8130">
      <c r="A8130" t="inlineStr">
        <is>
          <t xml:space="preserve">mobile phone </t>
        </is>
      </c>
      <c r="B8130">
        <f>VLOOKUP(129,Requirements!A2:B2967,2,FALSE)</f>
        <v/>
      </c>
    </row>
    <row r="8131">
      <c r="A8131" t="inlineStr">
        <is>
          <t xml:space="preserve">mobile phone </t>
        </is>
      </c>
      <c r="B8131">
        <f>VLOOKUP(176,Requirements!A2:B2967,2,FALSE)</f>
        <v/>
      </c>
    </row>
    <row r="8132">
      <c r="A8132" t="inlineStr">
        <is>
          <t xml:space="preserve">mobile phone </t>
        </is>
      </c>
      <c r="B8132">
        <f>VLOOKUP(186,Requirements!A2:B2967,2,FALSE)</f>
        <v/>
      </c>
    </row>
    <row r="8133">
      <c r="A8133" t="inlineStr">
        <is>
          <t xml:space="preserve">mobile phone </t>
        </is>
      </c>
      <c r="B8133">
        <f>VLOOKUP(201,Requirements!A2:B2967,2,FALSE)</f>
        <v/>
      </c>
    </row>
    <row r="8134">
      <c r="A8134" t="inlineStr">
        <is>
          <t xml:space="preserve">mobile phone </t>
        </is>
      </c>
      <c r="B8134">
        <f>VLOOKUP(202,Requirements!A2:B2967,2,FALSE)</f>
        <v/>
      </c>
    </row>
    <row r="8135">
      <c r="A8135" t="inlineStr">
        <is>
          <t xml:space="preserve">mobile phone </t>
        </is>
      </c>
      <c r="B8135">
        <f>VLOOKUP(266,Requirements!A2:B2967,2,FALSE)</f>
        <v/>
      </c>
    </row>
    <row r="8136">
      <c r="A8136" t="inlineStr">
        <is>
          <t xml:space="preserve">mobile phone </t>
        </is>
      </c>
      <c r="B8136">
        <f>VLOOKUP(928,Requirements!A2:B2967,2,FALSE)</f>
        <v/>
      </c>
    </row>
    <row r="8137">
      <c r="A8137" t="inlineStr">
        <is>
          <t xml:space="preserve">mobile phone </t>
        </is>
      </c>
      <c r="B8137">
        <f>VLOOKUP(937,Requirements!A2:B2967,2,FALSE)</f>
        <v/>
      </c>
    </row>
    <row r="8138">
      <c r="A8138" t="inlineStr">
        <is>
          <t xml:space="preserve">car </t>
        </is>
      </c>
      <c r="B8138">
        <f>VLOOKUP(129,Requirements!A2:B2967,2,FALSE)</f>
        <v/>
      </c>
    </row>
    <row r="8139">
      <c r="A8139" t="inlineStr">
        <is>
          <t xml:space="preserve">car </t>
        </is>
      </c>
      <c r="B8139">
        <f>VLOOKUP(177,Requirements!A2:B2967,2,FALSE)</f>
        <v/>
      </c>
    </row>
    <row r="8140">
      <c r="A8140" t="inlineStr">
        <is>
          <t xml:space="preserve">car </t>
        </is>
      </c>
      <c r="B8140">
        <f>VLOOKUP(180,Requirements!A2:B2967,2,FALSE)</f>
        <v/>
      </c>
    </row>
    <row r="8141">
      <c r="A8141" t="inlineStr">
        <is>
          <t xml:space="preserve">car </t>
        </is>
      </c>
      <c r="B8141">
        <f>VLOOKUP(219,Requirements!A2:B2967,2,FALSE)</f>
        <v/>
      </c>
    </row>
    <row r="8142">
      <c r="A8142" t="inlineStr">
        <is>
          <t xml:space="preserve">car </t>
        </is>
      </c>
      <c r="B8142">
        <f>VLOOKUP(669,Requirements!A2:B2967,2,FALSE)</f>
        <v/>
      </c>
    </row>
    <row r="8143">
      <c r="A8143" t="inlineStr">
        <is>
          <t xml:space="preserve">car </t>
        </is>
      </c>
      <c r="B8143">
        <f>VLOOKUP(788,Requirements!A2:B2967,2,FALSE)</f>
        <v/>
      </c>
    </row>
    <row r="8144">
      <c r="A8144" t="inlineStr">
        <is>
          <t xml:space="preserve">car </t>
        </is>
      </c>
      <c r="B8144">
        <f>VLOOKUP(989,Requirements!A2:B2967,2,FALSE)</f>
        <v/>
      </c>
    </row>
    <row r="8145">
      <c r="A8145" t="inlineStr">
        <is>
          <t xml:space="preserve">car </t>
        </is>
      </c>
      <c r="B8145">
        <f>VLOOKUP(1131,Requirements!A2:B2967,2,FALSE)</f>
        <v/>
      </c>
    </row>
    <row r="8146">
      <c r="A8146" t="inlineStr">
        <is>
          <t xml:space="preserve">car </t>
        </is>
      </c>
      <c r="B8146">
        <f>VLOOKUP(1191,Requirements!A2:B2967,2,FALSE)</f>
        <v/>
      </c>
    </row>
    <row r="8147">
      <c r="A8147" t="inlineStr">
        <is>
          <t xml:space="preserve">car </t>
        </is>
      </c>
      <c r="B8147">
        <f>VLOOKUP(1292,Requirements!A2:B2967,2,FALSE)</f>
        <v/>
      </c>
    </row>
    <row r="8148">
      <c r="A8148" t="inlineStr">
        <is>
          <t xml:space="preserve">car </t>
        </is>
      </c>
      <c r="B8148">
        <f>VLOOKUP(1402,Requirements!A2:B2967,2,FALSE)</f>
        <v/>
      </c>
    </row>
    <row r="8149">
      <c r="A8149" t="inlineStr">
        <is>
          <t xml:space="preserve">car </t>
        </is>
      </c>
      <c r="B8149">
        <f>VLOOKUP(1582,Requirements!A2:B2967,2,FALSE)</f>
        <v/>
      </c>
    </row>
    <row r="8150">
      <c r="A8150" t="inlineStr">
        <is>
          <t xml:space="preserve">car </t>
        </is>
      </c>
      <c r="B8150">
        <f>VLOOKUP(1589,Requirements!A2:B2967,2,FALSE)</f>
        <v/>
      </c>
    </row>
    <row r="8151">
      <c r="A8151" t="inlineStr">
        <is>
          <t xml:space="preserve">car </t>
        </is>
      </c>
      <c r="B8151">
        <f>VLOOKUP(1594,Requirements!A2:B2967,2,FALSE)</f>
        <v/>
      </c>
    </row>
    <row r="8152">
      <c r="A8152" t="inlineStr">
        <is>
          <t xml:space="preserve">car </t>
        </is>
      </c>
      <c r="B8152">
        <f>VLOOKUP(1971,Requirements!A2:B2967,2,FALSE)</f>
        <v/>
      </c>
    </row>
    <row r="8153">
      <c r="A8153" t="inlineStr">
        <is>
          <t xml:space="preserve">car </t>
        </is>
      </c>
      <c r="B8153">
        <f>VLOOKUP(2012,Requirements!A2:B2967,2,FALSE)</f>
        <v/>
      </c>
    </row>
    <row r="8154">
      <c r="A8154" t="inlineStr">
        <is>
          <t xml:space="preserve">car </t>
        </is>
      </c>
      <c r="B8154">
        <f>VLOOKUP(2202,Requirements!A2:B2967,2,FALSE)</f>
        <v/>
      </c>
    </row>
    <row r="8155">
      <c r="A8155" t="inlineStr">
        <is>
          <t xml:space="preserve">car </t>
        </is>
      </c>
      <c r="B8155">
        <f>VLOOKUP(2205,Requirements!A2:B2967,2,FALSE)</f>
        <v/>
      </c>
    </row>
    <row r="8156">
      <c r="A8156" t="inlineStr">
        <is>
          <t xml:space="preserve">car </t>
        </is>
      </c>
      <c r="B8156">
        <f>VLOOKUP(2346,Requirements!A2:B2967,2,FALSE)</f>
        <v/>
      </c>
    </row>
    <row r="8157">
      <c r="A8157" t="inlineStr">
        <is>
          <t xml:space="preserve">car </t>
        </is>
      </c>
      <c r="B8157">
        <f>VLOOKUP(2601,Requirements!A2:B2967,2,FALSE)</f>
        <v/>
      </c>
    </row>
    <row r="8158">
      <c r="A8158" t="inlineStr">
        <is>
          <t xml:space="preserve">car </t>
        </is>
      </c>
      <c r="B8158">
        <f>VLOOKUP(2742,Requirements!A2:B2967,2,FALSE)</f>
        <v/>
      </c>
    </row>
    <row r="8159">
      <c r="A8159" t="inlineStr">
        <is>
          <t xml:space="preserve">car </t>
        </is>
      </c>
      <c r="B8159">
        <f>VLOOKUP(3145,Requirements!A2:B2967,2,FALSE)</f>
        <v/>
      </c>
    </row>
    <row r="8160">
      <c r="A8160" t="inlineStr">
        <is>
          <t xml:space="preserve">car </t>
        </is>
      </c>
      <c r="B8160">
        <f>VLOOKUP(3192,Requirements!A2:B2967,2,FALSE)</f>
        <v/>
      </c>
    </row>
    <row r="8161">
      <c r="A8161" t="inlineStr">
        <is>
          <t xml:space="preserve">car </t>
        </is>
      </c>
      <c r="B8161">
        <f>VLOOKUP(3205,Requirements!A2:B2967,2,FALSE)</f>
        <v/>
      </c>
    </row>
    <row r="8162">
      <c r="A8162" t="inlineStr">
        <is>
          <t xml:space="preserve">car </t>
        </is>
      </c>
      <c r="B8162">
        <f>VLOOKUP(3251,Requirements!A2:B2967,2,FALSE)</f>
        <v/>
      </c>
    </row>
    <row r="8163">
      <c r="A8163" t="inlineStr">
        <is>
          <t xml:space="preserve">guest </t>
        </is>
      </c>
      <c r="B8163">
        <f>VLOOKUP(132,Requirements!A2:B2967,2,FALSE)</f>
        <v/>
      </c>
    </row>
    <row r="8164">
      <c r="A8164" t="inlineStr">
        <is>
          <t xml:space="preserve">guest </t>
        </is>
      </c>
      <c r="B8164">
        <f>VLOOKUP(758,Requirements!A2:B2967,2,FALSE)</f>
        <v/>
      </c>
    </row>
    <row r="8165">
      <c r="A8165" t="inlineStr">
        <is>
          <t xml:space="preserve">guest </t>
        </is>
      </c>
      <c r="B8165">
        <f>VLOOKUP(1183,Requirements!A2:B2967,2,FALSE)</f>
        <v/>
      </c>
    </row>
    <row r="8166">
      <c r="A8166" t="inlineStr">
        <is>
          <t xml:space="preserve">guest </t>
        </is>
      </c>
      <c r="B8166">
        <f>VLOOKUP(1241,Requirements!A2:B2967,2,FALSE)</f>
        <v/>
      </c>
    </row>
    <row r="8167">
      <c r="A8167" t="inlineStr">
        <is>
          <t xml:space="preserve">guest </t>
        </is>
      </c>
      <c r="B8167">
        <f>VLOOKUP(1259,Requirements!A2:B2967,2,FALSE)</f>
        <v/>
      </c>
    </row>
    <row r="8168">
      <c r="A8168" t="inlineStr">
        <is>
          <t xml:space="preserve">guest </t>
        </is>
      </c>
      <c r="B8168">
        <f>VLOOKUP(1287,Requirements!A2:B2967,2,FALSE)</f>
        <v/>
      </c>
    </row>
    <row r="8169">
      <c r="A8169" t="inlineStr">
        <is>
          <t xml:space="preserve">guest </t>
        </is>
      </c>
      <c r="B8169">
        <f>VLOOKUP(1371,Requirements!A2:B2967,2,FALSE)</f>
        <v/>
      </c>
    </row>
    <row r="8170">
      <c r="A8170" t="inlineStr">
        <is>
          <t xml:space="preserve">guest </t>
        </is>
      </c>
      <c r="B8170">
        <f>VLOOKUP(1434,Requirements!A2:B2967,2,FALSE)</f>
        <v/>
      </c>
    </row>
    <row r="8171">
      <c r="A8171" t="inlineStr">
        <is>
          <t xml:space="preserve">guest </t>
        </is>
      </c>
      <c r="B8171">
        <f>VLOOKUP(1628,Requirements!A2:B2967,2,FALSE)</f>
        <v/>
      </c>
    </row>
    <row r="8172">
      <c r="A8172" t="inlineStr">
        <is>
          <t xml:space="preserve">guest </t>
        </is>
      </c>
      <c r="B8172">
        <f>VLOOKUP(2437,Requirements!A2:B2967,2,FALSE)</f>
        <v/>
      </c>
    </row>
    <row r="8173">
      <c r="A8173" t="inlineStr">
        <is>
          <t xml:space="preserve">guest </t>
        </is>
      </c>
      <c r="B8173">
        <f>VLOOKUP(2909,Requirements!A2:B2967,2,FALSE)</f>
        <v/>
      </c>
    </row>
    <row r="8174">
      <c r="A8174" t="inlineStr">
        <is>
          <t xml:space="preserve">guest </t>
        </is>
      </c>
      <c r="B8174">
        <f>VLOOKUP(3040,Requirements!A2:B2967,2,FALSE)</f>
        <v/>
      </c>
    </row>
    <row r="8175">
      <c r="A8175" t="inlineStr">
        <is>
          <t xml:space="preserve">guest </t>
        </is>
      </c>
      <c r="B8175">
        <f>VLOOKUP(3075,Requirements!A2:B2967,2,FALSE)</f>
        <v/>
      </c>
    </row>
    <row r="8176">
      <c r="A8176" t="inlineStr">
        <is>
          <t xml:space="preserve">guest </t>
        </is>
      </c>
      <c r="B8176">
        <f>VLOOKUP(3077,Requirements!A2:B2967,2,FALSE)</f>
        <v/>
      </c>
    </row>
    <row r="8177">
      <c r="A8177" t="inlineStr">
        <is>
          <t xml:space="preserve">guest </t>
        </is>
      </c>
      <c r="B8177">
        <f>VLOOKUP(3192,Requirements!A2:B2967,2,FALSE)</f>
        <v/>
      </c>
    </row>
    <row r="8178">
      <c r="A8178" t="inlineStr">
        <is>
          <t xml:space="preserve">security </t>
        </is>
      </c>
      <c r="B8178">
        <f>VLOOKUP(134,Requirements!A2:B2967,2,FALSE)</f>
        <v/>
      </c>
    </row>
    <row r="8179">
      <c r="A8179" t="inlineStr">
        <is>
          <t xml:space="preserve">security </t>
        </is>
      </c>
      <c r="B8179">
        <f>VLOOKUP(266,Requirements!A2:B2967,2,FALSE)</f>
        <v/>
      </c>
    </row>
    <row r="8180">
      <c r="A8180" t="inlineStr">
        <is>
          <t xml:space="preserve">security </t>
        </is>
      </c>
      <c r="B8180">
        <f>VLOOKUP(319,Requirements!A2:B2967,2,FALSE)</f>
        <v/>
      </c>
    </row>
    <row r="8181">
      <c r="A8181" t="inlineStr">
        <is>
          <t xml:space="preserve">security </t>
        </is>
      </c>
      <c r="B8181">
        <f>VLOOKUP(435,Requirements!A2:B2967,2,FALSE)</f>
        <v/>
      </c>
    </row>
    <row r="8182">
      <c r="A8182" t="inlineStr">
        <is>
          <t xml:space="preserve">security </t>
        </is>
      </c>
      <c r="B8182">
        <f>VLOOKUP(515,Requirements!A2:B2967,2,FALSE)</f>
        <v/>
      </c>
    </row>
    <row r="8183">
      <c r="A8183" t="inlineStr">
        <is>
          <t xml:space="preserve">security </t>
        </is>
      </c>
      <c r="B8183">
        <f>VLOOKUP(1246,Requirements!A2:B2967,2,FALSE)</f>
        <v/>
      </c>
    </row>
    <row r="8184">
      <c r="A8184" t="inlineStr">
        <is>
          <t xml:space="preserve">security </t>
        </is>
      </c>
      <c r="B8184">
        <f>VLOOKUP(1368,Requirements!A2:B2967,2,FALSE)</f>
        <v/>
      </c>
    </row>
    <row r="8185">
      <c r="A8185" t="inlineStr">
        <is>
          <t xml:space="preserve">security </t>
        </is>
      </c>
      <c r="B8185">
        <f>VLOOKUP(1481,Requirements!A2:B2967,2,FALSE)</f>
        <v/>
      </c>
    </row>
    <row r="8186">
      <c r="A8186" t="inlineStr">
        <is>
          <t xml:space="preserve">security </t>
        </is>
      </c>
      <c r="B8186">
        <f>VLOOKUP(1687,Requirements!A2:B2967,2,FALSE)</f>
        <v/>
      </c>
    </row>
    <row r="8187">
      <c r="A8187" t="inlineStr">
        <is>
          <t xml:space="preserve">security </t>
        </is>
      </c>
      <c r="B8187">
        <f>VLOOKUP(1936,Requirements!A2:B2967,2,FALSE)</f>
        <v/>
      </c>
    </row>
    <row r="8188">
      <c r="A8188" t="inlineStr">
        <is>
          <t xml:space="preserve">security </t>
        </is>
      </c>
      <c r="B8188">
        <f>VLOOKUP(2010,Requirements!A2:B2967,2,FALSE)</f>
        <v/>
      </c>
    </row>
    <row r="8189">
      <c r="A8189" t="inlineStr">
        <is>
          <t xml:space="preserve">security </t>
        </is>
      </c>
      <c r="B8189">
        <f>VLOOKUP(2180,Requirements!A2:B2967,2,FALSE)</f>
        <v/>
      </c>
    </row>
    <row r="8190">
      <c r="A8190" t="inlineStr">
        <is>
          <t xml:space="preserve">security </t>
        </is>
      </c>
      <c r="B8190">
        <f>VLOOKUP(2713,Requirements!A2:B2967,2,FALSE)</f>
        <v/>
      </c>
    </row>
    <row r="8191">
      <c r="A8191" t="inlineStr">
        <is>
          <t xml:space="preserve">property </t>
        </is>
      </c>
      <c r="B8191">
        <f>VLOOKUP(134,Requirements!A2:B2967,2,FALSE)</f>
        <v/>
      </c>
    </row>
    <row r="8192">
      <c r="A8192" t="inlineStr">
        <is>
          <t xml:space="preserve">property </t>
        </is>
      </c>
      <c r="B8192">
        <f>VLOOKUP(858,Requirements!A2:B2967,2,FALSE)</f>
        <v/>
      </c>
    </row>
    <row r="8193">
      <c r="A8193" t="inlineStr">
        <is>
          <t xml:space="preserve">property </t>
        </is>
      </c>
      <c r="B8193">
        <f>VLOOKUP(929,Requirements!A2:B2967,2,FALSE)</f>
        <v/>
      </c>
    </row>
    <row r="8194">
      <c r="A8194" t="inlineStr">
        <is>
          <t xml:space="preserve">property </t>
        </is>
      </c>
      <c r="B8194">
        <f>VLOOKUP(1160,Requirements!A2:B2967,2,FALSE)</f>
        <v/>
      </c>
    </row>
    <row r="8195">
      <c r="A8195" t="inlineStr">
        <is>
          <t xml:space="preserve">property </t>
        </is>
      </c>
      <c r="B8195">
        <f>VLOOKUP(1446,Requirements!A2:B2967,2,FALSE)</f>
        <v/>
      </c>
    </row>
    <row r="8196">
      <c r="A8196" t="inlineStr">
        <is>
          <t xml:space="preserve">property </t>
        </is>
      </c>
      <c r="B8196">
        <f>VLOOKUP(1508,Requirements!A2:B2967,2,FALSE)</f>
        <v/>
      </c>
    </row>
    <row r="8197">
      <c r="A8197" t="inlineStr">
        <is>
          <t xml:space="preserve">property </t>
        </is>
      </c>
      <c r="B8197">
        <f>VLOOKUP(1936,Requirements!A2:B2967,2,FALSE)</f>
        <v/>
      </c>
    </row>
    <row r="8198">
      <c r="A8198" t="inlineStr">
        <is>
          <t xml:space="preserve">property </t>
        </is>
      </c>
      <c r="B8198">
        <f>VLOOKUP(2140,Requirements!A2:B2967,2,FALSE)</f>
        <v/>
      </c>
    </row>
    <row r="8199">
      <c r="A8199" t="inlineStr">
        <is>
          <t xml:space="preserve">property </t>
        </is>
      </c>
      <c r="B8199">
        <f>VLOOKUP(2569,Requirements!A2:B2967,2,FALSE)</f>
        <v/>
      </c>
    </row>
    <row r="8200">
      <c r="A8200" t="inlineStr">
        <is>
          <t xml:space="preserve">property </t>
        </is>
      </c>
      <c r="B8200">
        <f>VLOOKUP(2673,Requirements!A2:B2967,2,FALSE)</f>
        <v/>
      </c>
    </row>
    <row r="8201">
      <c r="A8201" t="inlineStr">
        <is>
          <t xml:space="preserve">key </t>
        </is>
      </c>
      <c r="B8201">
        <f>VLOOKUP(136,Requirements!A2:B2967,2,FALSE)</f>
        <v/>
      </c>
    </row>
    <row r="8202">
      <c r="A8202" t="inlineStr">
        <is>
          <t xml:space="preserve">key </t>
        </is>
      </c>
      <c r="B8202">
        <f>VLOOKUP(267,Requirements!A2:B2967,2,FALSE)</f>
        <v/>
      </c>
    </row>
    <row r="8203">
      <c r="A8203" t="inlineStr">
        <is>
          <t xml:space="preserve">key </t>
        </is>
      </c>
      <c r="B8203">
        <f>VLOOKUP(696,Requirements!A2:B2967,2,FALSE)</f>
        <v/>
      </c>
    </row>
    <row r="8204">
      <c r="A8204" t="inlineStr">
        <is>
          <t xml:space="preserve">key </t>
        </is>
      </c>
      <c r="B8204">
        <f>VLOOKUP(740,Requirements!A2:B2967,2,FALSE)</f>
        <v/>
      </c>
    </row>
    <row r="8205">
      <c r="A8205" t="inlineStr">
        <is>
          <t xml:space="preserve">key </t>
        </is>
      </c>
      <c r="B8205">
        <f>VLOOKUP(904,Requirements!A2:B2967,2,FALSE)</f>
        <v/>
      </c>
    </row>
    <row r="8206">
      <c r="A8206" t="inlineStr">
        <is>
          <t xml:space="preserve">key </t>
        </is>
      </c>
      <c r="B8206">
        <f>VLOOKUP(1463,Requirements!A2:B2967,2,FALSE)</f>
        <v/>
      </c>
    </row>
    <row r="8207">
      <c r="A8207" t="inlineStr">
        <is>
          <t xml:space="preserve">key </t>
        </is>
      </c>
      <c r="B8207">
        <f>VLOOKUP(1787,Requirements!A2:B2967,2,FALSE)</f>
        <v/>
      </c>
    </row>
    <row r="8208">
      <c r="A8208" t="inlineStr">
        <is>
          <t xml:space="preserve">key </t>
        </is>
      </c>
      <c r="B8208">
        <f>VLOOKUP(1898,Requirements!A2:B2967,2,FALSE)</f>
        <v/>
      </c>
    </row>
    <row r="8209">
      <c r="A8209" t="inlineStr">
        <is>
          <t xml:space="preserve">key </t>
        </is>
      </c>
      <c r="B8209">
        <f>VLOOKUP(2109,Requirements!A2:B2967,2,FALSE)</f>
        <v/>
      </c>
    </row>
    <row r="8210">
      <c r="A8210" t="inlineStr">
        <is>
          <t xml:space="preserve">key </t>
        </is>
      </c>
      <c r="B8210">
        <f>VLOOKUP(2208,Requirements!A2:B2967,2,FALSE)</f>
        <v/>
      </c>
    </row>
    <row r="8211">
      <c r="A8211" t="inlineStr">
        <is>
          <t xml:space="preserve">key </t>
        </is>
      </c>
      <c r="B8211">
        <f>VLOOKUP(2346,Requirements!A2:B2967,2,FALSE)</f>
        <v/>
      </c>
    </row>
    <row r="8212">
      <c r="A8212" t="inlineStr">
        <is>
          <t xml:space="preserve">key </t>
        </is>
      </c>
      <c r="B8212">
        <f>VLOOKUP(2602,Requirements!A2:B2967,2,FALSE)</f>
        <v/>
      </c>
    </row>
    <row r="8213">
      <c r="A8213" t="inlineStr">
        <is>
          <t xml:space="preserve">key </t>
        </is>
      </c>
      <c r="B8213">
        <f>VLOOKUP(3012,Requirements!A2:B2967,2,FALSE)</f>
        <v/>
      </c>
    </row>
    <row r="8214">
      <c r="A8214" t="inlineStr">
        <is>
          <t xml:space="preserve">aware </t>
        </is>
      </c>
      <c r="B8214">
        <f>VLOOKUP(139,Requirements!A2:B2967,2,FALSE)</f>
        <v/>
      </c>
    </row>
    <row r="8215">
      <c r="A8215" t="inlineStr">
        <is>
          <t xml:space="preserve">aware </t>
        </is>
      </c>
      <c r="B8215">
        <f>VLOOKUP(171,Requirements!A2:B2967,2,FALSE)</f>
        <v/>
      </c>
    </row>
    <row r="8216">
      <c r="A8216" t="inlineStr">
        <is>
          <t xml:space="preserve">aware </t>
        </is>
      </c>
      <c r="B8216">
        <f>VLOOKUP(276,Requirements!A2:B2967,2,FALSE)</f>
        <v/>
      </c>
    </row>
    <row r="8217">
      <c r="A8217" t="inlineStr">
        <is>
          <t xml:space="preserve">aware </t>
        </is>
      </c>
      <c r="B8217">
        <f>VLOOKUP(459,Requirements!A2:B2967,2,FALSE)</f>
        <v/>
      </c>
    </row>
    <row r="8218">
      <c r="A8218" t="inlineStr">
        <is>
          <t xml:space="preserve">aware </t>
        </is>
      </c>
      <c r="B8218">
        <f>VLOOKUP(557,Requirements!A2:B2967,2,FALSE)</f>
        <v/>
      </c>
    </row>
    <row r="8219">
      <c r="A8219" t="inlineStr">
        <is>
          <t xml:space="preserve">aware </t>
        </is>
      </c>
      <c r="B8219">
        <f>VLOOKUP(722,Requirements!A2:B2967,2,FALSE)</f>
        <v/>
      </c>
    </row>
    <row r="8220">
      <c r="A8220" t="inlineStr">
        <is>
          <t xml:space="preserve">aware </t>
        </is>
      </c>
      <c r="B8220">
        <f>VLOOKUP(858,Requirements!A2:B2967,2,FALSE)</f>
        <v/>
      </c>
    </row>
    <row r="8221">
      <c r="A8221" t="inlineStr">
        <is>
          <t xml:space="preserve">aware </t>
        </is>
      </c>
      <c r="B8221">
        <f>VLOOKUP(959,Requirements!A2:B2967,2,FALSE)</f>
        <v/>
      </c>
    </row>
    <row r="8222">
      <c r="A8222" t="inlineStr">
        <is>
          <t xml:space="preserve">aware </t>
        </is>
      </c>
      <c r="B8222">
        <f>VLOOKUP(1036,Requirements!A2:B2967,2,FALSE)</f>
        <v/>
      </c>
    </row>
    <row r="8223">
      <c r="A8223" t="inlineStr">
        <is>
          <t xml:space="preserve">aware </t>
        </is>
      </c>
      <c r="B8223">
        <f>VLOOKUP(1129,Requirements!A2:B2967,2,FALSE)</f>
        <v/>
      </c>
    </row>
    <row r="8224">
      <c r="A8224" t="inlineStr">
        <is>
          <t xml:space="preserve">aware </t>
        </is>
      </c>
      <c r="B8224">
        <f>VLOOKUP(1133,Requirements!A2:B2967,2,FALSE)</f>
        <v/>
      </c>
    </row>
    <row r="8225">
      <c r="A8225" t="inlineStr">
        <is>
          <t xml:space="preserve">aware </t>
        </is>
      </c>
      <c r="B8225">
        <f>VLOOKUP(1135,Requirements!A2:B2967,2,FALSE)</f>
        <v/>
      </c>
    </row>
    <row r="8226">
      <c r="A8226" t="inlineStr">
        <is>
          <t xml:space="preserve">aware </t>
        </is>
      </c>
      <c r="B8226">
        <f>VLOOKUP(1257,Requirements!A2:B2967,2,FALSE)</f>
        <v/>
      </c>
    </row>
    <row r="8227">
      <c r="A8227" t="inlineStr">
        <is>
          <t xml:space="preserve">aware </t>
        </is>
      </c>
      <c r="B8227">
        <f>VLOOKUP(1448,Requirements!A2:B2967,2,FALSE)</f>
        <v/>
      </c>
    </row>
    <row r="8228">
      <c r="A8228" t="inlineStr">
        <is>
          <t xml:space="preserve">aware </t>
        </is>
      </c>
      <c r="B8228">
        <f>VLOOKUP(1469,Requirements!A2:B2967,2,FALSE)</f>
        <v/>
      </c>
    </row>
    <row r="8229">
      <c r="A8229" t="inlineStr">
        <is>
          <t xml:space="preserve">aware </t>
        </is>
      </c>
      <c r="B8229">
        <f>VLOOKUP(1470,Requirements!A2:B2967,2,FALSE)</f>
        <v/>
      </c>
    </row>
    <row r="8230">
      <c r="A8230" t="inlineStr">
        <is>
          <t xml:space="preserve">aware </t>
        </is>
      </c>
      <c r="B8230">
        <f>VLOOKUP(1471,Requirements!A2:B2967,2,FALSE)</f>
        <v/>
      </c>
    </row>
    <row r="8231">
      <c r="A8231" t="inlineStr">
        <is>
          <t xml:space="preserve">aware </t>
        </is>
      </c>
      <c r="B8231">
        <f>VLOOKUP(1472,Requirements!A2:B2967,2,FALSE)</f>
        <v/>
      </c>
    </row>
    <row r="8232">
      <c r="A8232" t="inlineStr">
        <is>
          <t xml:space="preserve">aware </t>
        </is>
      </c>
      <c r="B8232">
        <f>VLOOKUP(1474,Requirements!A2:B2967,2,FALSE)</f>
        <v/>
      </c>
    </row>
    <row r="8233">
      <c r="A8233" t="inlineStr">
        <is>
          <t xml:space="preserve">aware </t>
        </is>
      </c>
      <c r="B8233">
        <f>VLOOKUP(1673,Requirements!A2:B2967,2,FALSE)</f>
        <v/>
      </c>
    </row>
    <row r="8234">
      <c r="A8234" t="inlineStr">
        <is>
          <t xml:space="preserve">aware </t>
        </is>
      </c>
      <c r="B8234">
        <f>VLOOKUP(1707,Requirements!A2:B2967,2,FALSE)</f>
        <v/>
      </c>
    </row>
    <row r="8235">
      <c r="A8235" t="inlineStr">
        <is>
          <t xml:space="preserve">aware </t>
        </is>
      </c>
      <c r="B8235">
        <f>VLOOKUP(1724,Requirements!A2:B2967,2,FALSE)</f>
        <v/>
      </c>
    </row>
    <row r="8236">
      <c r="A8236" t="inlineStr">
        <is>
          <t xml:space="preserve">aware </t>
        </is>
      </c>
      <c r="B8236">
        <f>VLOOKUP(1737,Requirements!A2:B2967,2,FALSE)</f>
        <v/>
      </c>
    </row>
    <row r="8237">
      <c r="A8237" t="inlineStr">
        <is>
          <t xml:space="preserve">aware </t>
        </is>
      </c>
      <c r="B8237">
        <f>VLOOKUP(1850,Requirements!A2:B2967,2,FALSE)</f>
        <v/>
      </c>
    </row>
    <row r="8238">
      <c r="A8238" t="inlineStr">
        <is>
          <t xml:space="preserve">aware </t>
        </is>
      </c>
      <c r="B8238">
        <f>VLOOKUP(1954,Requirements!A2:B2967,2,FALSE)</f>
        <v/>
      </c>
    </row>
    <row r="8239">
      <c r="A8239" t="inlineStr">
        <is>
          <t xml:space="preserve">aware </t>
        </is>
      </c>
      <c r="B8239">
        <f>VLOOKUP(2098,Requirements!A2:B2967,2,FALSE)</f>
        <v/>
      </c>
    </row>
    <row r="8240">
      <c r="A8240" t="inlineStr">
        <is>
          <t xml:space="preserve">aware </t>
        </is>
      </c>
      <c r="B8240">
        <f>VLOOKUP(2260,Requirements!A2:B2967,2,FALSE)</f>
        <v/>
      </c>
    </row>
    <row r="8241">
      <c r="A8241" t="inlineStr">
        <is>
          <t xml:space="preserve">aware </t>
        </is>
      </c>
      <c r="B8241">
        <f>VLOOKUP(2488,Requirements!A2:B2967,2,FALSE)</f>
        <v/>
      </c>
    </row>
    <row r="8242">
      <c r="A8242" t="inlineStr">
        <is>
          <t xml:space="preserve">aware </t>
        </is>
      </c>
      <c r="B8242">
        <f>VLOOKUP(2507,Requirements!A2:B2967,2,FALSE)</f>
        <v/>
      </c>
    </row>
    <row r="8243">
      <c r="A8243" t="inlineStr">
        <is>
          <t xml:space="preserve">aware </t>
        </is>
      </c>
      <c r="B8243">
        <f>VLOOKUP(2663,Requirements!A2:B2967,2,FALSE)</f>
        <v/>
      </c>
    </row>
    <row r="8244">
      <c r="A8244" t="inlineStr">
        <is>
          <t xml:space="preserve">aware </t>
        </is>
      </c>
      <c r="B8244">
        <f>VLOOKUP(2802,Requirements!A2:B2967,2,FALSE)</f>
        <v/>
      </c>
    </row>
    <row r="8245">
      <c r="A8245" t="inlineStr">
        <is>
          <t xml:space="preserve">aware </t>
        </is>
      </c>
      <c r="B8245">
        <f>VLOOKUP(2807,Requirements!A2:B2967,2,FALSE)</f>
        <v/>
      </c>
    </row>
    <row r="8246">
      <c r="A8246" t="inlineStr">
        <is>
          <t xml:space="preserve">aware </t>
        </is>
      </c>
      <c r="B8246">
        <f>VLOOKUP(3096,Requirements!A2:B2967,2,FALSE)</f>
        <v/>
      </c>
    </row>
    <row r="8247">
      <c r="A8247" t="inlineStr">
        <is>
          <t xml:space="preserve">aware </t>
        </is>
      </c>
      <c r="B8247">
        <f>VLOOKUP(3130,Requirements!A2:B2967,2,FALSE)</f>
        <v/>
      </c>
    </row>
    <row r="8248">
      <c r="A8248" t="inlineStr">
        <is>
          <t xml:space="preserve">aware </t>
        </is>
      </c>
      <c r="B8248">
        <f>VLOOKUP(3134,Requirements!A2:B2967,2,FALSE)</f>
        <v/>
      </c>
    </row>
    <row r="8249">
      <c r="A8249" t="inlineStr">
        <is>
          <t xml:space="preserve">open </t>
        </is>
      </c>
      <c r="B8249">
        <f>VLOOKUP(139,Requirements!A2:B2967,2,FALSE)</f>
        <v/>
      </c>
    </row>
    <row r="8250">
      <c r="A8250" t="inlineStr">
        <is>
          <t xml:space="preserve">open </t>
        </is>
      </c>
      <c r="B8250">
        <f>VLOOKUP(180,Requirements!A2:B2967,2,FALSE)</f>
        <v/>
      </c>
    </row>
    <row r="8251">
      <c r="A8251" t="inlineStr">
        <is>
          <t xml:space="preserve">open </t>
        </is>
      </c>
      <c r="B8251">
        <f>VLOOKUP(200,Requirements!A2:B2967,2,FALSE)</f>
        <v/>
      </c>
    </row>
    <row r="8252">
      <c r="A8252" t="inlineStr">
        <is>
          <t xml:space="preserve">open </t>
        </is>
      </c>
      <c r="B8252">
        <f>VLOOKUP(255,Requirements!A2:B2967,2,FALSE)</f>
        <v/>
      </c>
    </row>
    <row r="8253">
      <c r="A8253" t="inlineStr">
        <is>
          <t xml:space="preserve">open </t>
        </is>
      </c>
      <c r="B8253">
        <f>VLOOKUP(342,Requirements!A2:B2967,2,FALSE)</f>
        <v/>
      </c>
    </row>
    <row r="8254">
      <c r="A8254" t="inlineStr">
        <is>
          <t xml:space="preserve">open </t>
        </is>
      </c>
      <c r="B8254">
        <f>VLOOKUP(357,Requirements!A2:B2967,2,FALSE)</f>
        <v/>
      </c>
    </row>
    <row r="8255">
      <c r="A8255" t="inlineStr">
        <is>
          <t xml:space="preserve">open </t>
        </is>
      </c>
      <c r="B8255">
        <f>VLOOKUP(690,Requirements!A2:B2967,2,FALSE)</f>
        <v/>
      </c>
    </row>
    <row r="8256">
      <c r="A8256" t="inlineStr">
        <is>
          <t xml:space="preserve">open </t>
        </is>
      </c>
      <c r="B8256">
        <f>VLOOKUP(842,Requirements!A2:B2967,2,FALSE)</f>
        <v/>
      </c>
    </row>
    <row r="8257">
      <c r="A8257" t="inlineStr">
        <is>
          <t xml:space="preserve">open </t>
        </is>
      </c>
      <c r="B8257">
        <f>VLOOKUP(935,Requirements!A2:B2967,2,FALSE)</f>
        <v/>
      </c>
    </row>
    <row r="8258">
      <c r="A8258" t="inlineStr">
        <is>
          <t xml:space="preserve">open </t>
        </is>
      </c>
      <c r="B8258">
        <f>VLOOKUP(943,Requirements!A2:B2967,2,FALSE)</f>
        <v/>
      </c>
    </row>
    <row r="8259">
      <c r="A8259" t="inlineStr">
        <is>
          <t xml:space="preserve">open </t>
        </is>
      </c>
      <c r="B8259">
        <f>VLOOKUP(1006,Requirements!A2:B2967,2,FALSE)</f>
        <v/>
      </c>
    </row>
    <row r="8260">
      <c r="A8260" t="inlineStr">
        <is>
          <t xml:space="preserve">open </t>
        </is>
      </c>
      <c r="B8260">
        <f>VLOOKUP(1096,Requirements!A2:B2967,2,FALSE)</f>
        <v/>
      </c>
    </row>
    <row r="8261">
      <c r="A8261" t="inlineStr">
        <is>
          <t xml:space="preserve">open </t>
        </is>
      </c>
      <c r="B8261">
        <f>VLOOKUP(1131,Requirements!A2:B2967,2,FALSE)</f>
        <v/>
      </c>
    </row>
    <row r="8262">
      <c r="A8262" t="inlineStr">
        <is>
          <t xml:space="preserve">open </t>
        </is>
      </c>
      <c r="B8262">
        <f>VLOOKUP(1188,Requirements!A2:B2967,2,FALSE)</f>
        <v/>
      </c>
    </row>
    <row r="8263">
      <c r="A8263" t="inlineStr">
        <is>
          <t xml:space="preserve">open </t>
        </is>
      </c>
      <c r="B8263">
        <f>VLOOKUP(1189,Requirements!A2:B2967,2,FALSE)</f>
        <v/>
      </c>
    </row>
    <row r="8264">
      <c r="A8264" t="inlineStr">
        <is>
          <t xml:space="preserve">open </t>
        </is>
      </c>
      <c r="B8264">
        <f>VLOOKUP(1198,Requirements!A2:B2967,2,FALSE)</f>
        <v/>
      </c>
    </row>
    <row r="8265">
      <c r="A8265" t="inlineStr">
        <is>
          <t xml:space="preserve">open </t>
        </is>
      </c>
      <c r="B8265">
        <f>VLOOKUP(1287,Requirements!A2:B2967,2,FALSE)</f>
        <v/>
      </c>
    </row>
    <row r="8266">
      <c r="A8266" t="inlineStr">
        <is>
          <t xml:space="preserve">open </t>
        </is>
      </c>
      <c r="B8266">
        <f>VLOOKUP(1485,Requirements!A2:B2967,2,FALSE)</f>
        <v/>
      </c>
    </row>
    <row r="8267">
      <c r="A8267" t="inlineStr">
        <is>
          <t xml:space="preserve">open </t>
        </is>
      </c>
      <c r="B8267">
        <f>VLOOKUP(1509,Requirements!A2:B2967,2,FALSE)</f>
        <v/>
      </c>
    </row>
    <row r="8268">
      <c r="A8268" t="inlineStr">
        <is>
          <t xml:space="preserve">open </t>
        </is>
      </c>
      <c r="B8268">
        <f>VLOOKUP(1521,Requirements!A2:B2967,2,FALSE)</f>
        <v/>
      </c>
    </row>
    <row r="8269">
      <c r="A8269" t="inlineStr">
        <is>
          <t xml:space="preserve">open </t>
        </is>
      </c>
      <c r="B8269">
        <f>VLOOKUP(1600,Requirements!A2:B2967,2,FALSE)</f>
        <v/>
      </c>
    </row>
    <row r="8270">
      <c r="A8270" t="inlineStr">
        <is>
          <t xml:space="preserve">open </t>
        </is>
      </c>
      <c r="B8270">
        <f>VLOOKUP(1750,Requirements!A2:B2967,2,FALSE)</f>
        <v/>
      </c>
    </row>
    <row r="8271">
      <c r="A8271" t="inlineStr">
        <is>
          <t xml:space="preserve">open </t>
        </is>
      </c>
      <c r="B8271">
        <f>VLOOKUP(1849,Requirements!A2:B2967,2,FALSE)</f>
        <v/>
      </c>
    </row>
    <row r="8272">
      <c r="A8272" t="inlineStr">
        <is>
          <t xml:space="preserve">open </t>
        </is>
      </c>
      <c r="B8272">
        <f>VLOOKUP(1926,Requirements!A2:B2967,2,FALSE)</f>
        <v/>
      </c>
    </row>
    <row r="8273">
      <c r="A8273" t="inlineStr">
        <is>
          <t xml:space="preserve">open </t>
        </is>
      </c>
      <c r="B8273">
        <f>VLOOKUP(2000,Requirements!A2:B2967,2,FALSE)</f>
        <v/>
      </c>
    </row>
    <row r="8274">
      <c r="A8274" t="inlineStr">
        <is>
          <t xml:space="preserve">open </t>
        </is>
      </c>
      <c r="B8274">
        <f>VLOOKUP(2028,Requirements!A2:B2967,2,FALSE)</f>
        <v/>
      </c>
    </row>
    <row r="8275">
      <c r="A8275" t="inlineStr">
        <is>
          <t xml:space="preserve">open </t>
        </is>
      </c>
      <c r="B8275">
        <f>VLOOKUP(2048,Requirements!A2:B2967,2,FALSE)</f>
        <v/>
      </c>
    </row>
    <row r="8276">
      <c r="A8276" t="inlineStr">
        <is>
          <t xml:space="preserve">open </t>
        </is>
      </c>
      <c r="B8276">
        <f>VLOOKUP(2123,Requirements!A2:B2967,2,FALSE)</f>
        <v/>
      </c>
    </row>
    <row r="8277">
      <c r="A8277" t="inlineStr">
        <is>
          <t xml:space="preserve">open </t>
        </is>
      </c>
      <c r="B8277">
        <f>VLOOKUP(2151,Requirements!A2:B2967,2,FALSE)</f>
        <v/>
      </c>
    </row>
    <row r="8278">
      <c r="A8278" t="inlineStr">
        <is>
          <t xml:space="preserve">open </t>
        </is>
      </c>
      <c r="B8278">
        <f>VLOOKUP(2223,Requirements!A2:B2967,2,FALSE)</f>
        <v/>
      </c>
    </row>
    <row r="8279">
      <c r="A8279" t="inlineStr">
        <is>
          <t xml:space="preserve">open </t>
        </is>
      </c>
      <c r="B8279">
        <f>VLOOKUP(2228,Requirements!A2:B2967,2,FALSE)</f>
        <v/>
      </c>
    </row>
    <row r="8280">
      <c r="A8280" t="inlineStr">
        <is>
          <t xml:space="preserve">open </t>
        </is>
      </c>
      <c r="B8280">
        <f>VLOOKUP(2248,Requirements!A2:B2967,2,FALSE)</f>
        <v/>
      </c>
    </row>
    <row r="8281">
      <c r="A8281" t="inlineStr">
        <is>
          <t xml:space="preserve">open </t>
        </is>
      </c>
      <c r="B8281">
        <f>VLOOKUP(2289,Requirements!A2:B2967,2,FALSE)</f>
        <v/>
      </c>
    </row>
    <row r="8282">
      <c r="A8282" t="inlineStr">
        <is>
          <t xml:space="preserve">open </t>
        </is>
      </c>
      <c r="B8282">
        <f>VLOOKUP(2597,Requirements!A2:B2967,2,FALSE)</f>
        <v/>
      </c>
    </row>
    <row r="8283">
      <c r="A8283" t="inlineStr">
        <is>
          <t xml:space="preserve">open </t>
        </is>
      </c>
      <c r="B8283">
        <f>VLOOKUP(2631,Requirements!A2:B2967,2,FALSE)</f>
        <v/>
      </c>
    </row>
    <row r="8284">
      <c r="A8284" t="inlineStr">
        <is>
          <t xml:space="preserve">open </t>
        </is>
      </c>
      <c r="B8284">
        <f>VLOOKUP(2672,Requirements!A2:B2967,2,FALSE)</f>
        <v/>
      </c>
    </row>
    <row r="8285">
      <c r="A8285" t="inlineStr">
        <is>
          <t xml:space="preserve">open </t>
        </is>
      </c>
      <c r="B8285">
        <f>VLOOKUP(2736,Requirements!A2:B2967,2,FALSE)</f>
        <v/>
      </c>
    </row>
    <row r="8286">
      <c r="A8286" t="inlineStr">
        <is>
          <t xml:space="preserve">open </t>
        </is>
      </c>
      <c r="B8286">
        <f>VLOOKUP(2750,Requirements!A2:B2967,2,FALSE)</f>
        <v/>
      </c>
    </row>
    <row r="8287">
      <c r="A8287" t="inlineStr">
        <is>
          <t xml:space="preserve">open </t>
        </is>
      </c>
      <c r="B8287">
        <f>VLOOKUP(2873,Requirements!A2:B2967,2,FALSE)</f>
        <v/>
      </c>
    </row>
    <row r="8288">
      <c r="A8288" t="inlineStr">
        <is>
          <t xml:space="preserve">open </t>
        </is>
      </c>
      <c r="B8288">
        <f>VLOOKUP(2954,Requirements!A2:B2967,2,FALSE)</f>
        <v/>
      </c>
    </row>
    <row r="8289">
      <c r="A8289" t="inlineStr">
        <is>
          <t xml:space="preserve">open </t>
        </is>
      </c>
      <c r="B8289">
        <f>VLOOKUP(2980,Requirements!A2:B2967,2,FALSE)</f>
        <v/>
      </c>
    </row>
    <row r="8290">
      <c r="A8290" t="inlineStr">
        <is>
          <t xml:space="preserve">open </t>
        </is>
      </c>
      <c r="B8290">
        <f>VLOOKUP(3096,Requirements!A2:B2967,2,FALSE)</f>
        <v/>
      </c>
    </row>
    <row r="8291">
      <c r="A8291" t="inlineStr">
        <is>
          <t xml:space="preserve">open </t>
        </is>
      </c>
      <c r="B8291">
        <f>VLOOKUP(3141,Requirements!A2:B2967,2,FALSE)</f>
        <v/>
      </c>
    </row>
    <row r="8292">
      <c r="A8292" t="inlineStr">
        <is>
          <t xml:space="preserve">open </t>
        </is>
      </c>
      <c r="B8292">
        <f>VLOOKUP(3223,Requirements!A2:B2967,2,FALSE)</f>
        <v/>
      </c>
    </row>
    <row r="8293">
      <c r="A8293" t="inlineStr">
        <is>
          <t xml:space="preserve">open </t>
        </is>
      </c>
      <c r="B8293">
        <f>VLOOKUP(3272,Requirements!A2:B2967,2,FALSE)</f>
        <v/>
      </c>
    </row>
    <row r="8294">
      <c r="A8294" t="inlineStr">
        <is>
          <t xml:space="preserve">electronics </t>
        </is>
      </c>
      <c r="B8294">
        <f>VLOOKUP(142,Requirements!A2:B2967,2,FALSE)</f>
        <v/>
      </c>
    </row>
    <row r="8295">
      <c r="A8295" t="inlineStr">
        <is>
          <t xml:space="preserve">electronics </t>
        </is>
      </c>
      <c r="B8295">
        <f>VLOOKUP(581,Requirements!A2:B2967,2,FALSE)</f>
        <v/>
      </c>
    </row>
    <row r="8296">
      <c r="A8296" t="inlineStr">
        <is>
          <t xml:space="preserve">electronics </t>
        </is>
      </c>
      <c r="B8296">
        <f>VLOOKUP(704,Requirements!A2:B2967,2,FALSE)</f>
        <v/>
      </c>
    </row>
    <row r="8297">
      <c r="A8297" t="inlineStr">
        <is>
          <t xml:space="preserve">electronics </t>
        </is>
      </c>
      <c r="B8297">
        <f>VLOOKUP(838,Requirements!A2:B2967,2,FALSE)</f>
        <v/>
      </c>
    </row>
    <row r="8298">
      <c r="A8298" t="inlineStr">
        <is>
          <t xml:space="preserve">electronics </t>
        </is>
      </c>
      <c r="B8298">
        <f>VLOOKUP(957,Requirements!A2:B2967,2,FALSE)</f>
        <v/>
      </c>
    </row>
    <row r="8299">
      <c r="A8299" t="inlineStr">
        <is>
          <t xml:space="preserve">electronics </t>
        </is>
      </c>
      <c r="B8299">
        <f>VLOOKUP(1150,Requirements!A2:B2967,2,FALSE)</f>
        <v/>
      </c>
    </row>
    <row r="8300">
      <c r="A8300" t="inlineStr">
        <is>
          <t xml:space="preserve">electronics </t>
        </is>
      </c>
      <c r="B8300">
        <f>VLOOKUP(1383,Requirements!A2:B2967,2,FALSE)</f>
        <v/>
      </c>
    </row>
    <row r="8301">
      <c r="A8301" t="inlineStr">
        <is>
          <t xml:space="preserve">electronics </t>
        </is>
      </c>
      <c r="B8301">
        <f>VLOOKUP(1573,Requirements!A2:B2967,2,FALSE)</f>
        <v/>
      </c>
    </row>
    <row r="8302">
      <c r="A8302" t="inlineStr">
        <is>
          <t xml:space="preserve">electronics </t>
        </is>
      </c>
      <c r="B8302">
        <f>VLOOKUP(1685,Requirements!A2:B2967,2,FALSE)</f>
        <v/>
      </c>
    </row>
    <row r="8303">
      <c r="A8303" t="inlineStr">
        <is>
          <t xml:space="preserve">electronics </t>
        </is>
      </c>
      <c r="B8303">
        <f>VLOOKUP(1763,Requirements!A2:B2967,2,FALSE)</f>
        <v/>
      </c>
    </row>
    <row r="8304">
      <c r="A8304" t="inlineStr">
        <is>
          <t xml:space="preserve">electronics </t>
        </is>
      </c>
      <c r="B8304">
        <f>VLOOKUP(1859,Requirements!A2:B2967,2,FALSE)</f>
        <v/>
      </c>
    </row>
    <row r="8305">
      <c r="A8305" t="inlineStr">
        <is>
          <t xml:space="preserve">electronics </t>
        </is>
      </c>
      <c r="B8305">
        <f>VLOOKUP(2077,Requirements!A2:B2967,2,FALSE)</f>
        <v/>
      </c>
    </row>
    <row r="8306">
      <c r="A8306" t="inlineStr">
        <is>
          <t xml:space="preserve">electronics </t>
        </is>
      </c>
      <c r="B8306">
        <f>VLOOKUP(2233,Requirements!A2:B2967,2,FALSE)</f>
        <v/>
      </c>
    </row>
    <row r="8307">
      <c r="A8307" t="inlineStr">
        <is>
          <t xml:space="preserve">electronics </t>
        </is>
      </c>
      <c r="B8307">
        <f>VLOOKUP(2273,Requirements!A2:B2967,2,FALSE)</f>
        <v/>
      </c>
    </row>
    <row r="8308">
      <c r="A8308" t="inlineStr">
        <is>
          <t xml:space="preserve">electronics </t>
        </is>
      </c>
      <c r="B8308">
        <f>VLOOKUP(2472,Requirements!A2:B2967,2,FALSE)</f>
        <v/>
      </c>
    </row>
    <row r="8309">
      <c r="A8309" t="inlineStr">
        <is>
          <t xml:space="preserve">electronics </t>
        </is>
      </c>
      <c r="B8309">
        <f>VLOOKUP(2589,Requirements!A2:B2967,2,FALSE)</f>
        <v/>
      </c>
    </row>
    <row r="8310">
      <c r="A8310" t="inlineStr">
        <is>
          <t xml:space="preserve">electronics </t>
        </is>
      </c>
      <c r="B8310">
        <f>VLOOKUP(2662,Requirements!A2:B2967,2,FALSE)</f>
        <v/>
      </c>
    </row>
    <row r="8311">
      <c r="A8311" t="inlineStr">
        <is>
          <t xml:space="preserve">electronics </t>
        </is>
      </c>
      <c r="B8311">
        <f>VLOOKUP(2762,Requirements!A2:B2967,2,FALSE)</f>
        <v/>
      </c>
    </row>
    <row r="8312">
      <c r="A8312" t="inlineStr">
        <is>
          <t xml:space="preserve">electronics </t>
        </is>
      </c>
      <c r="B8312">
        <f>VLOOKUP(2901,Requirements!A2:B2967,2,FALSE)</f>
        <v/>
      </c>
    </row>
    <row r="8313">
      <c r="A8313" t="inlineStr">
        <is>
          <t xml:space="preserve">electronics </t>
        </is>
      </c>
      <c r="B8313">
        <f>VLOOKUP(3168,Requirements!A2:B2967,2,FALSE)</f>
        <v/>
      </c>
    </row>
    <row r="8314">
      <c r="A8314" t="inlineStr">
        <is>
          <t xml:space="preserve">easy </t>
        </is>
      </c>
      <c r="B8314">
        <f>VLOOKUP(142,Requirements!A2:B2967,2,FALSE)</f>
        <v/>
      </c>
    </row>
    <row r="8315">
      <c r="A8315" t="inlineStr">
        <is>
          <t xml:space="preserve">easy </t>
        </is>
      </c>
      <c r="B8315">
        <f>VLOOKUP(216,Requirements!A2:B2967,2,FALSE)</f>
        <v/>
      </c>
    </row>
    <row r="8316">
      <c r="A8316" t="inlineStr">
        <is>
          <t xml:space="preserve">easy </t>
        </is>
      </c>
      <c r="B8316">
        <f>VLOOKUP(223,Requirements!A2:B2967,2,FALSE)</f>
        <v/>
      </c>
    </row>
    <row r="8317">
      <c r="A8317" t="inlineStr">
        <is>
          <t xml:space="preserve">easy </t>
        </is>
      </c>
      <c r="B8317">
        <f>VLOOKUP(340,Requirements!A2:B2967,2,FALSE)</f>
        <v/>
      </c>
    </row>
    <row r="8318">
      <c r="A8318" t="inlineStr">
        <is>
          <t xml:space="preserve">easy </t>
        </is>
      </c>
      <c r="B8318">
        <f>VLOOKUP(946,Requirements!A2:B2967,2,FALSE)</f>
        <v/>
      </c>
    </row>
    <row r="8319">
      <c r="A8319" t="inlineStr">
        <is>
          <t xml:space="preserve">easy </t>
        </is>
      </c>
      <c r="B8319">
        <f>VLOOKUP(952,Requirements!A2:B2967,2,FALSE)</f>
        <v/>
      </c>
    </row>
    <row r="8320">
      <c r="A8320" t="inlineStr">
        <is>
          <t xml:space="preserve">easy </t>
        </is>
      </c>
      <c r="B8320">
        <f>VLOOKUP(954,Requirements!A2:B2967,2,FALSE)</f>
        <v/>
      </c>
    </row>
    <row r="8321">
      <c r="A8321" t="inlineStr">
        <is>
          <t xml:space="preserve">easy </t>
        </is>
      </c>
      <c r="B8321">
        <f>VLOOKUP(980,Requirements!A2:B2967,2,FALSE)</f>
        <v/>
      </c>
    </row>
    <row r="8322">
      <c r="A8322" t="inlineStr">
        <is>
          <t xml:space="preserve">easy </t>
        </is>
      </c>
      <c r="B8322">
        <f>VLOOKUP(1620,Requirements!A2:B2967,2,FALSE)</f>
        <v/>
      </c>
    </row>
    <row r="8323">
      <c r="A8323" t="inlineStr">
        <is>
          <t xml:space="preserve">lower </t>
        </is>
      </c>
      <c r="B8323">
        <f>VLOOKUP(146,Requirements!A2:B2967,2,FALSE)</f>
        <v/>
      </c>
    </row>
    <row r="8324">
      <c r="A8324" t="inlineStr">
        <is>
          <t xml:space="preserve">lower </t>
        </is>
      </c>
      <c r="B8324">
        <f>VLOOKUP(269,Requirements!A2:B2967,2,FALSE)</f>
        <v/>
      </c>
    </row>
    <row r="8325">
      <c r="A8325" t="inlineStr">
        <is>
          <t xml:space="preserve">lower </t>
        </is>
      </c>
      <c r="B8325">
        <f>VLOOKUP(860,Requirements!A2:B2967,2,FALSE)</f>
        <v/>
      </c>
    </row>
    <row r="8326">
      <c r="A8326" t="inlineStr">
        <is>
          <t xml:space="preserve">lower </t>
        </is>
      </c>
      <c r="B8326">
        <f>VLOOKUP(933,Requirements!A2:B2967,2,FALSE)</f>
        <v/>
      </c>
    </row>
    <row r="8327">
      <c r="A8327" t="inlineStr">
        <is>
          <t xml:space="preserve">lower </t>
        </is>
      </c>
      <c r="B8327">
        <f>VLOOKUP(1899,Requirements!A2:B2967,2,FALSE)</f>
        <v/>
      </c>
    </row>
    <row r="8328">
      <c r="A8328" t="inlineStr">
        <is>
          <t xml:space="preserve">lower </t>
        </is>
      </c>
      <c r="B8328">
        <f>VLOOKUP(2391,Requirements!A2:B2967,2,FALSE)</f>
        <v/>
      </c>
    </row>
    <row r="8329">
      <c r="A8329" t="inlineStr">
        <is>
          <t xml:space="preserve">lower </t>
        </is>
      </c>
      <c r="B8329">
        <f>VLOOKUP(2404,Requirements!A2:B2967,2,FALSE)</f>
        <v/>
      </c>
    </row>
    <row r="8330">
      <c r="A8330" t="inlineStr">
        <is>
          <t xml:space="preserve">lower </t>
        </is>
      </c>
      <c r="B8330">
        <f>VLOOKUP(2675,Requirements!A2:B2967,2,FALSE)</f>
        <v/>
      </c>
    </row>
    <row r="8331">
      <c r="A8331" t="inlineStr">
        <is>
          <t xml:space="preserve">lower </t>
        </is>
      </c>
      <c r="B8331">
        <f>VLOOKUP(2863,Requirements!A2:B2967,2,FALSE)</f>
        <v/>
      </c>
    </row>
    <row r="8332">
      <c r="A8332" t="inlineStr">
        <is>
          <t xml:space="preserve">lower </t>
        </is>
      </c>
      <c r="B8332">
        <f>VLOOKUP(2870,Requirements!A2:B2967,2,FALSE)</f>
        <v/>
      </c>
    </row>
    <row r="8333">
      <c r="A8333" t="inlineStr">
        <is>
          <t xml:space="preserve">lower </t>
        </is>
      </c>
      <c r="B8333">
        <f>VLOOKUP(2954,Requirements!A2:B2967,2,FALSE)</f>
        <v/>
      </c>
    </row>
    <row r="8334">
      <c r="A8334" t="inlineStr">
        <is>
          <t xml:space="preserve">lower </t>
        </is>
      </c>
      <c r="B8334">
        <f>VLOOKUP(3232,Requirements!A2:B2967,2,FALSE)</f>
        <v/>
      </c>
    </row>
    <row r="8335">
      <c r="A8335" t="inlineStr">
        <is>
          <t xml:space="preserve">turn </t>
        </is>
      </c>
      <c r="B8335">
        <f>VLOOKUP(147,Requirements!A2:B2967,2,FALSE)</f>
        <v/>
      </c>
    </row>
    <row r="8336">
      <c r="A8336" t="inlineStr">
        <is>
          <t xml:space="preserve">turn </t>
        </is>
      </c>
      <c r="B8336">
        <f>VLOOKUP(359,Requirements!A2:B2967,2,FALSE)</f>
        <v/>
      </c>
    </row>
    <row r="8337">
      <c r="A8337" t="inlineStr">
        <is>
          <t xml:space="preserve">turn </t>
        </is>
      </c>
      <c r="B8337">
        <f>VLOOKUP(1062,Requirements!A2:B2967,2,FALSE)</f>
        <v/>
      </c>
    </row>
    <row r="8338">
      <c r="A8338" t="inlineStr">
        <is>
          <t xml:space="preserve">turn </t>
        </is>
      </c>
      <c r="B8338">
        <f>VLOOKUP(1769,Requirements!A2:B2967,2,FALSE)</f>
        <v/>
      </c>
    </row>
    <row r="8339">
      <c r="A8339" t="inlineStr">
        <is>
          <t xml:space="preserve">turn </t>
        </is>
      </c>
      <c r="B8339">
        <f>VLOOKUP(1838,Requirements!A2:B2967,2,FALSE)</f>
        <v/>
      </c>
    </row>
    <row r="8340">
      <c r="A8340" t="inlineStr">
        <is>
          <t xml:space="preserve">turn </t>
        </is>
      </c>
      <c r="B8340">
        <f>VLOOKUP(2176,Requirements!A2:B2967,2,FALSE)</f>
        <v/>
      </c>
    </row>
    <row r="8341">
      <c r="A8341" t="inlineStr">
        <is>
          <t xml:space="preserve">turn </t>
        </is>
      </c>
      <c r="B8341">
        <f>VLOOKUP(2178,Requirements!A2:B2967,2,FALSE)</f>
        <v/>
      </c>
    </row>
    <row r="8342">
      <c r="A8342" t="inlineStr">
        <is>
          <t xml:space="preserve">turn </t>
        </is>
      </c>
      <c r="B8342">
        <f>VLOOKUP(2810,Requirements!A2:B2967,2,FALSE)</f>
        <v/>
      </c>
    </row>
    <row r="8343">
      <c r="A8343" t="inlineStr">
        <is>
          <t xml:space="preserve">turn </t>
        </is>
      </c>
      <c r="B8343">
        <f>VLOOKUP(3036,Requirements!A2:B2967,2,FALSE)</f>
        <v/>
      </c>
    </row>
    <row r="8344">
      <c r="A8344" t="inlineStr">
        <is>
          <t xml:space="preserve">turn </t>
        </is>
      </c>
      <c r="B8344">
        <f>VLOOKUP(3161,Requirements!A2:B2967,2,FALSE)</f>
        <v/>
      </c>
    </row>
    <row r="8345">
      <c r="A8345" t="inlineStr">
        <is>
          <t xml:space="preserve">turn </t>
        </is>
      </c>
      <c r="B8345">
        <f>VLOOKUP(3238,Requirements!A2:B2967,2,FALSE)</f>
        <v/>
      </c>
    </row>
    <row r="8346">
      <c r="A8346" t="inlineStr">
        <is>
          <t xml:space="preserve">turn </t>
        </is>
      </c>
      <c r="B8346">
        <f>VLOOKUP(3249,Requirements!A2:B2967,2,FALSE)</f>
        <v/>
      </c>
    </row>
    <row r="8347">
      <c r="A8347" t="inlineStr">
        <is>
          <t xml:space="preserve">dark </t>
        </is>
      </c>
      <c r="B8347">
        <f>VLOOKUP(148,Requirements!A2:B2967,2,FALSE)</f>
        <v/>
      </c>
    </row>
    <row r="8348">
      <c r="A8348" t="inlineStr">
        <is>
          <t xml:space="preserve">dark </t>
        </is>
      </c>
      <c r="B8348">
        <f>VLOOKUP(193,Requirements!A2:B2967,2,FALSE)</f>
        <v/>
      </c>
    </row>
    <row r="8349">
      <c r="A8349" t="inlineStr">
        <is>
          <t xml:space="preserve">dark </t>
        </is>
      </c>
      <c r="B8349">
        <f>VLOOKUP(335,Requirements!A2:B2967,2,FALSE)</f>
        <v/>
      </c>
    </row>
    <row r="8350">
      <c r="A8350" t="inlineStr">
        <is>
          <t xml:space="preserve">dark </t>
        </is>
      </c>
      <c r="B8350">
        <f>VLOOKUP(999,Requirements!A2:B2967,2,FALSE)</f>
        <v/>
      </c>
    </row>
    <row r="8351">
      <c r="A8351" t="inlineStr">
        <is>
          <t xml:space="preserve">dark </t>
        </is>
      </c>
      <c r="B8351">
        <f>VLOOKUP(1166,Requirements!A2:B2967,2,FALSE)</f>
        <v/>
      </c>
    </row>
    <row r="8352">
      <c r="A8352" t="inlineStr">
        <is>
          <t xml:space="preserve">dark </t>
        </is>
      </c>
      <c r="B8352">
        <f>VLOOKUP(1473,Requirements!A2:B2967,2,FALSE)</f>
        <v/>
      </c>
    </row>
    <row r="8353">
      <c r="A8353" t="inlineStr">
        <is>
          <t xml:space="preserve">dark </t>
        </is>
      </c>
      <c r="B8353">
        <f>VLOOKUP(1509,Requirements!A2:B2967,2,FALSE)</f>
        <v/>
      </c>
    </row>
    <row r="8354">
      <c r="A8354" t="inlineStr">
        <is>
          <t xml:space="preserve">dark </t>
        </is>
      </c>
      <c r="B8354">
        <f>VLOOKUP(2375,Requirements!A2:B2967,2,FALSE)</f>
        <v/>
      </c>
    </row>
    <row r="8355">
      <c r="A8355" t="inlineStr">
        <is>
          <t xml:space="preserve">dark </t>
        </is>
      </c>
      <c r="B8355">
        <f>VLOOKUP(2707,Requirements!A2:B2967,2,FALSE)</f>
        <v/>
      </c>
    </row>
    <row r="8356">
      <c r="A8356" t="inlineStr">
        <is>
          <t xml:space="preserve">dark </t>
        </is>
      </c>
      <c r="B8356">
        <f>VLOOKUP(2764,Requirements!A2:B2967,2,FALSE)</f>
        <v/>
      </c>
    </row>
    <row r="8357">
      <c r="A8357" t="inlineStr">
        <is>
          <t xml:space="preserve">dark </t>
        </is>
      </c>
      <c r="B8357">
        <f>VLOOKUP(2885,Requirements!A2:B2967,2,FALSE)</f>
        <v/>
      </c>
    </row>
    <row r="8358">
      <c r="A8358" t="inlineStr">
        <is>
          <t xml:space="preserve">dark </t>
        </is>
      </c>
      <c r="B8358">
        <f>VLOOKUP(3200,Requirements!A2:B2967,2,FALSE)</f>
        <v/>
      </c>
    </row>
    <row r="8359">
      <c r="A8359" t="inlineStr">
        <is>
          <t xml:space="preserve">game </t>
        </is>
      </c>
      <c r="B8359">
        <f>VLOOKUP(151,Requirements!A2:B2967,2,FALSE)</f>
        <v/>
      </c>
    </row>
    <row r="8360">
      <c r="A8360" t="inlineStr">
        <is>
          <t xml:space="preserve">game </t>
        </is>
      </c>
      <c r="B8360">
        <f>VLOOKUP(704,Requirements!A2:B2967,2,FALSE)</f>
        <v/>
      </c>
    </row>
    <row r="8361">
      <c r="A8361" t="inlineStr">
        <is>
          <t xml:space="preserve">game </t>
        </is>
      </c>
      <c r="B8361">
        <f>VLOOKUP(1242,Requirements!A2:B2967,2,FALSE)</f>
        <v/>
      </c>
    </row>
    <row r="8362">
      <c r="A8362" t="inlineStr">
        <is>
          <t xml:space="preserve">game </t>
        </is>
      </c>
      <c r="B8362">
        <f>VLOOKUP(1283,Requirements!A2:B2967,2,FALSE)</f>
        <v/>
      </c>
    </row>
    <row r="8363">
      <c r="A8363" t="inlineStr">
        <is>
          <t xml:space="preserve">game </t>
        </is>
      </c>
      <c r="B8363">
        <f>VLOOKUP(1438,Requirements!A2:B2967,2,FALSE)</f>
        <v/>
      </c>
    </row>
    <row r="8364">
      <c r="A8364" t="inlineStr">
        <is>
          <t xml:space="preserve">game </t>
        </is>
      </c>
      <c r="B8364">
        <f>VLOOKUP(1843,Requirements!A2:B2967,2,FALSE)</f>
        <v/>
      </c>
    </row>
    <row r="8365">
      <c r="A8365" t="inlineStr">
        <is>
          <t xml:space="preserve">game </t>
        </is>
      </c>
      <c r="B8365">
        <f>VLOOKUP(1893,Requirements!A2:B2967,2,FALSE)</f>
        <v/>
      </c>
    </row>
    <row r="8366">
      <c r="A8366" t="inlineStr">
        <is>
          <t xml:space="preserve">game </t>
        </is>
      </c>
      <c r="B8366">
        <f>VLOOKUP(1956,Requirements!A2:B2967,2,FALSE)</f>
        <v/>
      </c>
    </row>
    <row r="8367">
      <c r="A8367" t="inlineStr">
        <is>
          <t xml:space="preserve">game </t>
        </is>
      </c>
      <c r="B8367">
        <f>VLOOKUP(1979,Requirements!A2:B2967,2,FALSE)</f>
        <v/>
      </c>
    </row>
    <row r="8368">
      <c r="A8368" t="inlineStr">
        <is>
          <t xml:space="preserve">game </t>
        </is>
      </c>
      <c r="B8368">
        <f>VLOOKUP(2003,Requirements!A2:B2967,2,FALSE)</f>
        <v/>
      </c>
    </row>
    <row r="8369">
      <c r="A8369" t="inlineStr">
        <is>
          <t xml:space="preserve">game </t>
        </is>
      </c>
      <c r="B8369">
        <f>VLOOKUP(2148,Requirements!A2:B2967,2,FALSE)</f>
        <v/>
      </c>
    </row>
    <row r="8370">
      <c r="A8370" t="inlineStr">
        <is>
          <t xml:space="preserve">game </t>
        </is>
      </c>
      <c r="B8370">
        <f>VLOOKUP(2215,Requirements!A2:B2967,2,FALSE)</f>
        <v/>
      </c>
    </row>
    <row r="8371">
      <c r="A8371" t="inlineStr">
        <is>
          <t xml:space="preserve">game </t>
        </is>
      </c>
      <c r="B8371">
        <f>VLOOKUP(2234,Requirements!A2:B2967,2,FALSE)</f>
        <v/>
      </c>
    </row>
    <row r="8372">
      <c r="A8372" t="inlineStr">
        <is>
          <t xml:space="preserve">game </t>
        </is>
      </c>
      <c r="B8372">
        <f>VLOOKUP(2333,Requirements!A2:B2967,2,FALSE)</f>
        <v/>
      </c>
    </row>
    <row r="8373">
      <c r="A8373" t="inlineStr">
        <is>
          <t xml:space="preserve">game </t>
        </is>
      </c>
      <c r="B8373">
        <f>VLOOKUP(2616,Requirements!A2:B2967,2,FALSE)</f>
        <v/>
      </c>
    </row>
    <row r="8374">
      <c r="A8374" t="inlineStr">
        <is>
          <t xml:space="preserve">game </t>
        </is>
      </c>
      <c r="B8374">
        <f>VLOOKUP(2730,Requirements!A2:B2967,2,FALSE)</f>
        <v/>
      </c>
    </row>
    <row r="8375">
      <c r="A8375" t="inlineStr">
        <is>
          <t xml:space="preserve">game </t>
        </is>
      </c>
      <c r="B8375">
        <f>VLOOKUP(3025,Requirements!A2:B2967,2,FALSE)</f>
        <v/>
      </c>
    </row>
    <row r="8376">
      <c r="A8376" t="inlineStr">
        <is>
          <t xml:space="preserve">game </t>
        </is>
      </c>
      <c r="B8376">
        <f>VLOOKUP(3042,Requirements!A2:B2967,2,FALSE)</f>
        <v/>
      </c>
    </row>
    <row r="8377">
      <c r="A8377" t="inlineStr">
        <is>
          <t xml:space="preserve">game </t>
        </is>
      </c>
      <c r="B8377">
        <f>VLOOKUP(3241,Requirements!A2:B2967,2,FALSE)</f>
        <v/>
      </c>
    </row>
    <row r="8378">
      <c r="A8378" t="inlineStr">
        <is>
          <t xml:space="preserve">meal </t>
        </is>
      </c>
      <c r="B8378">
        <f>VLOOKUP(152,Requirements!A2:B2967,2,FALSE)</f>
        <v/>
      </c>
    </row>
    <row r="8379">
      <c r="A8379" t="inlineStr">
        <is>
          <t xml:space="preserve">meal </t>
        </is>
      </c>
      <c r="B8379">
        <f>VLOOKUP(934,Requirements!A2:B2967,2,FALSE)</f>
        <v/>
      </c>
    </row>
    <row r="8380">
      <c r="A8380" t="inlineStr">
        <is>
          <t xml:space="preserve">meal </t>
        </is>
      </c>
      <c r="B8380">
        <f>VLOOKUP(1010,Requirements!A2:B2967,2,FALSE)</f>
        <v/>
      </c>
    </row>
    <row r="8381">
      <c r="A8381" t="inlineStr">
        <is>
          <t xml:space="preserve">meal </t>
        </is>
      </c>
      <c r="B8381">
        <f>VLOOKUP(1252,Requirements!A2:B2967,2,FALSE)</f>
        <v/>
      </c>
    </row>
    <row r="8382">
      <c r="A8382" t="inlineStr">
        <is>
          <t xml:space="preserve">meal </t>
        </is>
      </c>
      <c r="B8382">
        <f>VLOOKUP(1348,Requirements!A2:B2967,2,FALSE)</f>
        <v/>
      </c>
    </row>
    <row r="8383">
      <c r="A8383" t="inlineStr">
        <is>
          <t xml:space="preserve">meal </t>
        </is>
      </c>
      <c r="B8383">
        <f>VLOOKUP(2110,Requirements!A2:B2967,2,FALSE)</f>
        <v/>
      </c>
    </row>
    <row r="8384">
      <c r="A8384" t="inlineStr">
        <is>
          <t xml:space="preserve">meal </t>
        </is>
      </c>
      <c r="B8384">
        <f>VLOOKUP(2131,Requirements!A2:B2967,2,FALSE)</f>
        <v/>
      </c>
    </row>
    <row r="8385">
      <c r="A8385" t="inlineStr">
        <is>
          <t xml:space="preserve">meal </t>
        </is>
      </c>
      <c r="B8385">
        <f>VLOOKUP(2395,Requirements!A2:B2967,2,FALSE)</f>
        <v/>
      </c>
    </row>
    <row r="8386">
      <c r="A8386" t="inlineStr">
        <is>
          <t xml:space="preserve">meal </t>
        </is>
      </c>
      <c r="B8386">
        <f>VLOOKUP(2695,Requirements!A2:B2967,2,FALSE)</f>
        <v/>
      </c>
    </row>
    <row r="8387">
      <c r="A8387" t="inlineStr">
        <is>
          <t xml:space="preserve">meal </t>
        </is>
      </c>
      <c r="B8387">
        <f>VLOOKUP(2731,Requirements!A2:B2967,2,FALSE)</f>
        <v/>
      </c>
    </row>
    <row r="8388">
      <c r="A8388" t="inlineStr">
        <is>
          <t xml:space="preserve">meal </t>
        </is>
      </c>
      <c r="B8388">
        <f>VLOOKUP(2814,Requirements!A2:B2967,2,FALSE)</f>
        <v/>
      </c>
    </row>
    <row r="8389">
      <c r="A8389" t="inlineStr">
        <is>
          <t xml:space="preserve">meal </t>
        </is>
      </c>
      <c r="B8389">
        <f>VLOOKUP(2843,Requirements!A2:B2967,2,FALSE)</f>
        <v/>
      </c>
    </row>
    <row r="8390">
      <c r="A8390" t="inlineStr">
        <is>
          <t xml:space="preserve">meal </t>
        </is>
      </c>
      <c r="B8390">
        <f>VLOOKUP(2864,Requirements!A2:B2967,2,FALSE)</f>
        <v/>
      </c>
    </row>
    <row r="8391">
      <c r="A8391" t="inlineStr">
        <is>
          <t xml:space="preserve">meal </t>
        </is>
      </c>
      <c r="B8391">
        <f>VLOOKUP(2895,Requirements!A2:B2967,2,FALSE)</f>
        <v/>
      </c>
    </row>
    <row r="8392">
      <c r="A8392" t="inlineStr">
        <is>
          <t xml:space="preserve">meal </t>
        </is>
      </c>
      <c r="B8392">
        <f>VLOOKUP(3252,Requirements!A2:B2967,2,FALSE)</f>
        <v/>
      </c>
    </row>
    <row r="8393">
      <c r="A8393" t="inlineStr">
        <is>
          <t xml:space="preserve">occupant </t>
        </is>
      </c>
      <c r="B8393">
        <f>VLOOKUP(153,Requirements!A2:B2967,2,FALSE)</f>
        <v/>
      </c>
    </row>
    <row r="8394">
      <c r="A8394" t="inlineStr">
        <is>
          <t xml:space="preserve">occupant </t>
        </is>
      </c>
      <c r="B8394">
        <f>VLOOKUP(170,Requirements!A2:B2967,2,FALSE)</f>
        <v/>
      </c>
    </row>
    <row r="8395">
      <c r="A8395" t="inlineStr">
        <is>
          <t xml:space="preserve">occupant </t>
        </is>
      </c>
      <c r="B8395">
        <f>VLOOKUP(198,Requirements!A2:B2967,2,FALSE)</f>
        <v/>
      </c>
    </row>
    <row r="8396">
      <c r="A8396" t="inlineStr">
        <is>
          <t xml:space="preserve">occupant </t>
        </is>
      </c>
      <c r="B8396">
        <f>VLOOKUP(233,Requirements!A2:B2967,2,FALSE)</f>
        <v/>
      </c>
    </row>
    <row r="8397">
      <c r="A8397" t="inlineStr">
        <is>
          <t xml:space="preserve">occupant </t>
        </is>
      </c>
      <c r="B8397">
        <f>VLOOKUP(243,Requirements!A2:B2967,2,FALSE)</f>
        <v/>
      </c>
    </row>
    <row r="8398">
      <c r="A8398" t="inlineStr">
        <is>
          <t xml:space="preserve">occupant </t>
        </is>
      </c>
      <c r="B8398">
        <f>VLOOKUP(331,Requirements!A2:B2967,2,FALSE)</f>
        <v/>
      </c>
    </row>
    <row r="8399">
      <c r="A8399" t="inlineStr">
        <is>
          <t xml:space="preserve">occupant </t>
        </is>
      </c>
      <c r="B8399">
        <f>VLOOKUP(410,Requirements!A2:B2967,2,FALSE)</f>
        <v/>
      </c>
    </row>
    <row r="8400">
      <c r="A8400" t="inlineStr">
        <is>
          <t xml:space="preserve">occupant </t>
        </is>
      </c>
      <c r="B8400">
        <f>VLOOKUP(496,Requirements!A2:B2967,2,FALSE)</f>
        <v/>
      </c>
    </row>
    <row r="8401">
      <c r="A8401" t="inlineStr">
        <is>
          <t xml:space="preserve">occupant </t>
        </is>
      </c>
      <c r="B8401">
        <f>VLOOKUP(497,Requirements!A2:B2967,2,FALSE)</f>
        <v/>
      </c>
    </row>
    <row r="8402">
      <c r="A8402" t="inlineStr">
        <is>
          <t xml:space="preserve">occupant </t>
        </is>
      </c>
      <c r="B8402">
        <f>VLOOKUP(513,Requirements!A2:B2967,2,FALSE)</f>
        <v/>
      </c>
    </row>
    <row r="8403">
      <c r="A8403" t="inlineStr">
        <is>
          <t xml:space="preserve">occupant </t>
        </is>
      </c>
      <c r="B8403">
        <f>VLOOKUP(523,Requirements!A2:B2967,2,FALSE)</f>
        <v/>
      </c>
    </row>
    <row r="8404">
      <c r="A8404" t="inlineStr">
        <is>
          <t xml:space="preserve">occupant </t>
        </is>
      </c>
      <c r="B8404">
        <f>VLOOKUP(525,Requirements!A2:B2967,2,FALSE)</f>
        <v/>
      </c>
    </row>
    <row r="8405">
      <c r="A8405" t="inlineStr">
        <is>
          <t xml:space="preserve">occupant </t>
        </is>
      </c>
      <c r="B8405">
        <f>VLOOKUP(528,Requirements!A2:B2967,2,FALSE)</f>
        <v/>
      </c>
    </row>
    <row r="8406">
      <c r="A8406" t="inlineStr">
        <is>
          <t xml:space="preserve">occupant </t>
        </is>
      </c>
      <c r="B8406">
        <f>VLOOKUP(529,Requirements!A2:B2967,2,FALSE)</f>
        <v/>
      </c>
    </row>
    <row r="8407">
      <c r="A8407" t="inlineStr">
        <is>
          <t xml:space="preserve">occupant </t>
        </is>
      </c>
      <c r="B8407">
        <f>VLOOKUP(532,Requirements!A2:B2967,2,FALSE)</f>
        <v/>
      </c>
    </row>
    <row r="8408">
      <c r="A8408" t="inlineStr">
        <is>
          <t xml:space="preserve">occupant </t>
        </is>
      </c>
      <c r="B8408">
        <f>VLOOKUP(782,Requirements!A2:B2967,2,FALSE)</f>
        <v/>
      </c>
    </row>
    <row r="8409">
      <c r="A8409" t="inlineStr">
        <is>
          <t xml:space="preserve">occupant </t>
        </is>
      </c>
      <c r="B8409">
        <f>VLOOKUP(793,Requirements!A2:B2967,2,FALSE)</f>
        <v/>
      </c>
    </row>
    <row r="8410">
      <c r="A8410" t="inlineStr">
        <is>
          <t xml:space="preserve">occupant </t>
        </is>
      </c>
      <c r="B8410">
        <f>VLOOKUP(795,Requirements!A2:B2967,2,FALSE)</f>
        <v/>
      </c>
    </row>
    <row r="8411">
      <c r="A8411" t="inlineStr">
        <is>
          <t xml:space="preserve">occupant </t>
        </is>
      </c>
      <c r="B8411">
        <f>VLOOKUP(870,Requirements!A2:B2967,2,FALSE)</f>
        <v/>
      </c>
    </row>
    <row r="8412">
      <c r="A8412" t="inlineStr">
        <is>
          <t xml:space="preserve">occupant </t>
        </is>
      </c>
      <c r="B8412">
        <f>VLOOKUP(924,Requirements!A2:B2967,2,FALSE)</f>
        <v/>
      </c>
    </row>
    <row r="8413">
      <c r="A8413" t="inlineStr">
        <is>
          <t xml:space="preserve">occupant </t>
        </is>
      </c>
      <c r="B8413">
        <f>VLOOKUP(1538,Requirements!A2:B2967,2,FALSE)</f>
        <v/>
      </c>
    </row>
    <row r="8414">
      <c r="A8414" t="inlineStr">
        <is>
          <t xml:space="preserve">occupant </t>
        </is>
      </c>
      <c r="B8414">
        <f>VLOOKUP(1805,Requirements!A2:B2967,2,FALSE)</f>
        <v/>
      </c>
    </row>
    <row r="8415">
      <c r="A8415" t="inlineStr">
        <is>
          <t xml:space="preserve">occupant </t>
        </is>
      </c>
      <c r="B8415">
        <f>VLOOKUP(2135,Requirements!A2:B2967,2,FALSE)</f>
        <v/>
      </c>
    </row>
    <row r="8416">
      <c r="A8416" t="inlineStr">
        <is>
          <t xml:space="preserve">occupant </t>
        </is>
      </c>
      <c r="B8416">
        <f>VLOOKUP(2138,Requirements!A2:B2967,2,FALSE)</f>
        <v/>
      </c>
    </row>
    <row r="8417">
      <c r="A8417" t="inlineStr">
        <is>
          <t xml:space="preserve">occupant </t>
        </is>
      </c>
      <c r="B8417">
        <f>VLOOKUP(2139,Requirements!A2:B2967,2,FALSE)</f>
        <v/>
      </c>
    </row>
    <row r="8418">
      <c r="A8418" t="inlineStr">
        <is>
          <t xml:space="preserve">occupant </t>
        </is>
      </c>
      <c r="B8418">
        <f>VLOOKUP(2252,Requirements!A2:B2967,2,FALSE)</f>
        <v/>
      </c>
    </row>
    <row r="8419">
      <c r="A8419" t="inlineStr">
        <is>
          <t xml:space="preserve">occupant </t>
        </is>
      </c>
      <c r="B8419">
        <f>VLOOKUP(2572,Requirements!A2:B2967,2,FALSE)</f>
        <v/>
      </c>
    </row>
    <row r="8420">
      <c r="A8420" t="inlineStr">
        <is>
          <t xml:space="preserve">occupant </t>
        </is>
      </c>
      <c r="B8420">
        <f>VLOOKUP(2687,Requirements!A2:B2967,2,FALSE)</f>
        <v/>
      </c>
    </row>
    <row r="8421">
      <c r="A8421" t="inlineStr">
        <is>
          <t xml:space="preserve">occupant </t>
        </is>
      </c>
      <c r="B8421">
        <f>VLOOKUP(2826,Requirements!A2:B2967,2,FALSE)</f>
        <v/>
      </c>
    </row>
    <row r="8422">
      <c r="A8422" t="inlineStr">
        <is>
          <t xml:space="preserve">occupant </t>
        </is>
      </c>
      <c r="B8422">
        <f>VLOOKUP(2830,Requirements!A2:B2967,2,FALSE)</f>
        <v/>
      </c>
    </row>
    <row r="8423">
      <c r="A8423" t="inlineStr">
        <is>
          <t xml:space="preserve">occupant </t>
        </is>
      </c>
      <c r="B8423">
        <f>VLOOKUP(2851,Requirements!A2:B2967,2,FALSE)</f>
        <v/>
      </c>
    </row>
    <row r="8424">
      <c r="A8424" t="inlineStr">
        <is>
          <t xml:space="preserve">occupant </t>
        </is>
      </c>
      <c r="B8424">
        <f>VLOOKUP(2854,Requirements!A2:B2967,2,FALSE)</f>
        <v/>
      </c>
    </row>
    <row r="8425">
      <c r="A8425" t="inlineStr">
        <is>
          <t xml:space="preserve">occupant </t>
        </is>
      </c>
      <c r="B8425">
        <f>VLOOKUP(2861,Requirements!A2:B2967,2,FALSE)</f>
        <v/>
      </c>
    </row>
    <row r="8426">
      <c r="A8426" t="inlineStr">
        <is>
          <t xml:space="preserve">occupant </t>
        </is>
      </c>
      <c r="B8426">
        <f>VLOOKUP(2866,Requirements!A2:B2967,2,FALSE)</f>
        <v/>
      </c>
    </row>
    <row r="8427">
      <c r="A8427" t="inlineStr">
        <is>
          <t xml:space="preserve">occupant </t>
        </is>
      </c>
      <c r="B8427">
        <f>VLOOKUP(2967,Requirements!A2:B2967,2,FALSE)</f>
        <v/>
      </c>
    </row>
    <row r="8428">
      <c r="A8428" t="inlineStr">
        <is>
          <t xml:space="preserve">occupant </t>
        </is>
      </c>
      <c r="B8428">
        <f>VLOOKUP(3022,Requirements!A2:B2967,2,FALSE)</f>
        <v/>
      </c>
    </row>
    <row r="8429">
      <c r="A8429" t="inlineStr">
        <is>
          <t xml:space="preserve">occupant </t>
        </is>
      </c>
      <c r="B8429">
        <f>VLOOKUP(3182,Requirements!A2:B2967,2,FALSE)</f>
        <v/>
      </c>
    </row>
    <row r="8430">
      <c r="A8430" t="inlineStr">
        <is>
          <t xml:space="preserve">moment </t>
        </is>
      </c>
      <c r="B8430">
        <f>VLOOKUP(154,Requirements!A2:B2967,2,FALSE)</f>
        <v/>
      </c>
    </row>
    <row r="8431">
      <c r="A8431" t="inlineStr">
        <is>
          <t xml:space="preserve">moment </t>
        </is>
      </c>
      <c r="B8431">
        <f>VLOOKUP(262,Requirements!A2:B2967,2,FALSE)</f>
        <v/>
      </c>
    </row>
    <row r="8432">
      <c r="A8432" t="inlineStr">
        <is>
          <t xml:space="preserve">moment </t>
        </is>
      </c>
      <c r="B8432">
        <f>VLOOKUP(2300,Requirements!A2:B2967,2,FALSE)</f>
        <v/>
      </c>
    </row>
    <row r="8433">
      <c r="A8433" t="inlineStr">
        <is>
          <t xml:space="preserve">moment </t>
        </is>
      </c>
      <c r="B8433">
        <f>VLOOKUP(2878,Requirements!A2:B2967,2,FALSE)</f>
        <v/>
      </c>
    </row>
    <row r="8434">
      <c r="A8434" t="inlineStr">
        <is>
          <t xml:space="preserve">moment </t>
        </is>
      </c>
      <c r="B8434">
        <f>VLOOKUP(3163,Requirements!A2:B2967,2,FALSE)</f>
        <v/>
      </c>
    </row>
    <row r="8435">
      <c r="A8435" t="inlineStr">
        <is>
          <t xml:space="preserve">moment </t>
        </is>
      </c>
      <c r="B8435">
        <f>VLOOKUP(3276,Requirements!A2:B2967,2,FALSE)</f>
        <v/>
      </c>
    </row>
    <row r="8436">
      <c r="A8436" t="inlineStr">
        <is>
          <t xml:space="preserve">movie lover </t>
        </is>
      </c>
      <c r="B8436">
        <f>VLOOKUP(161,Requirements!A2:B2967,2,FALSE)</f>
        <v/>
      </c>
    </row>
    <row r="8437">
      <c r="A8437" t="inlineStr">
        <is>
          <t xml:space="preserve">movie lover </t>
        </is>
      </c>
      <c r="B8437">
        <f>VLOOKUP(412,Requirements!A2:B2967,2,FALSE)</f>
        <v/>
      </c>
    </row>
    <row r="8438">
      <c r="A8438" t="inlineStr">
        <is>
          <t xml:space="preserve">movie lover </t>
        </is>
      </c>
      <c r="B8438">
        <f>VLOOKUP(1091,Requirements!A2:B2967,2,FALSE)</f>
        <v/>
      </c>
    </row>
    <row r="8439">
      <c r="A8439" t="inlineStr">
        <is>
          <t xml:space="preserve">movie lover </t>
        </is>
      </c>
      <c r="B8439">
        <f>VLOOKUP(1100,Requirements!A2:B2967,2,FALSE)</f>
        <v/>
      </c>
    </row>
    <row r="8440">
      <c r="A8440" t="inlineStr">
        <is>
          <t xml:space="preserve">movie lover </t>
        </is>
      </c>
      <c r="B8440">
        <f>VLOOKUP(1748,Requirements!A2:B2967,2,FALSE)</f>
        <v/>
      </c>
    </row>
    <row r="8441">
      <c r="A8441" t="inlineStr">
        <is>
          <t xml:space="preserve">favorite music </t>
        </is>
      </c>
      <c r="B8441">
        <f>VLOOKUP(163,Requirements!A2:B2967,2,FALSE)</f>
        <v/>
      </c>
    </row>
    <row r="8442">
      <c r="A8442" t="inlineStr">
        <is>
          <t xml:space="preserve">favorite music </t>
        </is>
      </c>
      <c r="B8442">
        <f>VLOOKUP(879,Requirements!A2:B2967,2,FALSE)</f>
        <v/>
      </c>
    </row>
    <row r="8443">
      <c r="A8443" t="inlineStr">
        <is>
          <t xml:space="preserve">favorite music </t>
        </is>
      </c>
      <c r="B8443">
        <f>VLOOKUP(1704,Requirements!A2:B2967,2,FALSE)</f>
        <v/>
      </c>
    </row>
    <row r="8444">
      <c r="A8444" t="inlineStr">
        <is>
          <t xml:space="preserve">favorite music </t>
        </is>
      </c>
      <c r="B8444">
        <f>VLOOKUP(2394,Requirements!A2:B2967,2,FALSE)</f>
        <v/>
      </c>
    </row>
    <row r="8445">
      <c r="A8445" t="inlineStr">
        <is>
          <t xml:space="preserve">favorite music </t>
        </is>
      </c>
      <c r="B8445">
        <f>VLOOKUP(2667,Requirements!A2:B2967,2,FALSE)</f>
        <v/>
      </c>
    </row>
    <row r="8446">
      <c r="A8446" t="inlineStr">
        <is>
          <t xml:space="preserve">different </t>
        </is>
      </c>
      <c r="B8446">
        <f>VLOOKUP(167,Requirements!A2:B2967,2,FALSE)</f>
        <v/>
      </c>
    </row>
    <row r="8447">
      <c r="A8447" t="inlineStr">
        <is>
          <t xml:space="preserve">different </t>
        </is>
      </c>
      <c r="B8447">
        <f>VLOOKUP(461,Requirements!A2:B2967,2,FALSE)</f>
        <v/>
      </c>
    </row>
    <row r="8448">
      <c r="A8448" t="inlineStr">
        <is>
          <t xml:space="preserve">different </t>
        </is>
      </c>
      <c r="B8448">
        <f>VLOOKUP(650,Requirements!A2:B2967,2,FALSE)</f>
        <v/>
      </c>
    </row>
    <row r="8449">
      <c r="A8449" t="inlineStr">
        <is>
          <t xml:space="preserve">different </t>
        </is>
      </c>
      <c r="B8449">
        <f>VLOOKUP(1195,Requirements!A2:B2967,2,FALSE)</f>
        <v/>
      </c>
    </row>
    <row r="8450">
      <c r="A8450" t="inlineStr">
        <is>
          <t xml:space="preserve">different </t>
        </is>
      </c>
      <c r="B8450">
        <f>VLOOKUP(1491,Requirements!A2:B2967,2,FALSE)</f>
        <v/>
      </c>
    </row>
    <row r="8451">
      <c r="A8451" t="inlineStr">
        <is>
          <t xml:space="preserve">different </t>
        </is>
      </c>
      <c r="B8451">
        <f>VLOOKUP(1609,Requirements!A2:B2967,2,FALSE)</f>
        <v/>
      </c>
    </row>
    <row r="8452">
      <c r="A8452" t="inlineStr">
        <is>
          <t xml:space="preserve">different </t>
        </is>
      </c>
      <c r="B8452">
        <f>VLOOKUP(1672,Requirements!A2:B2967,2,FALSE)</f>
        <v/>
      </c>
    </row>
    <row r="8453">
      <c r="A8453" t="inlineStr">
        <is>
          <t xml:space="preserve">different </t>
        </is>
      </c>
      <c r="B8453">
        <f>VLOOKUP(1741,Requirements!A2:B2967,2,FALSE)</f>
        <v/>
      </c>
    </row>
    <row r="8454">
      <c r="A8454" t="inlineStr">
        <is>
          <t xml:space="preserve">different </t>
        </is>
      </c>
      <c r="B8454">
        <f>VLOOKUP(1972,Requirements!A2:B2967,2,FALSE)</f>
        <v/>
      </c>
    </row>
    <row r="8455">
      <c r="A8455" t="inlineStr">
        <is>
          <t xml:space="preserve">different </t>
        </is>
      </c>
      <c r="B8455">
        <f>VLOOKUP(2413,Requirements!A2:B2967,2,FALSE)</f>
        <v/>
      </c>
    </row>
    <row r="8456">
      <c r="A8456" t="inlineStr">
        <is>
          <t xml:space="preserve">different </t>
        </is>
      </c>
      <c r="B8456">
        <f>VLOOKUP(2508,Requirements!A2:B2967,2,FALSE)</f>
        <v/>
      </c>
    </row>
    <row r="8457">
      <c r="A8457" t="inlineStr">
        <is>
          <t xml:space="preserve">different </t>
        </is>
      </c>
      <c r="B8457">
        <f>VLOOKUP(2641,Requirements!A2:B2967,2,FALSE)</f>
        <v/>
      </c>
    </row>
    <row r="8458">
      <c r="A8458" t="inlineStr">
        <is>
          <t xml:space="preserve">different </t>
        </is>
      </c>
      <c r="B8458">
        <f>VLOOKUP(2695,Requirements!A2:B2967,2,FALSE)</f>
        <v/>
      </c>
    </row>
    <row r="8459">
      <c r="A8459" t="inlineStr">
        <is>
          <t xml:space="preserve">different </t>
        </is>
      </c>
      <c r="B8459">
        <f>VLOOKUP(2868,Requirements!A2:B2967,2,FALSE)</f>
        <v/>
      </c>
    </row>
    <row r="8460">
      <c r="A8460" t="inlineStr">
        <is>
          <t xml:space="preserve">different </t>
        </is>
      </c>
      <c r="B8460">
        <f>VLOOKUP(2998,Requirements!A2:B2967,2,FALSE)</f>
        <v/>
      </c>
    </row>
    <row r="8461">
      <c r="A8461" t="inlineStr">
        <is>
          <t xml:space="preserve">different </t>
        </is>
      </c>
      <c r="B8461">
        <f>VLOOKUP(3110,Requirements!A2:B2967,2,FALSE)</f>
        <v/>
      </c>
    </row>
    <row r="8462">
      <c r="A8462" t="inlineStr">
        <is>
          <t xml:space="preserve">different </t>
        </is>
      </c>
      <c r="B8462">
        <f>VLOOKUP(3112,Requirements!A2:B2967,2,FALSE)</f>
        <v/>
      </c>
    </row>
    <row r="8463">
      <c r="A8463" t="inlineStr">
        <is>
          <t xml:space="preserve">different </t>
        </is>
      </c>
      <c r="B8463">
        <f>VLOOKUP(3159,Requirements!A2:B2967,2,FALSE)</f>
        <v/>
      </c>
    </row>
    <row r="8464">
      <c r="A8464" t="inlineStr">
        <is>
          <t xml:space="preserve">voice </t>
        </is>
      </c>
      <c r="B8464">
        <f>VLOOKUP(167,Requirements!A2:B2967,2,FALSE)</f>
        <v/>
      </c>
    </row>
    <row r="8465">
      <c r="A8465" t="inlineStr">
        <is>
          <t xml:space="preserve">voice </t>
        </is>
      </c>
      <c r="B8465">
        <f>VLOOKUP(220,Requirements!A2:B2967,2,FALSE)</f>
        <v/>
      </c>
    </row>
    <row r="8466">
      <c r="A8466" t="inlineStr">
        <is>
          <t xml:space="preserve">voice </t>
        </is>
      </c>
      <c r="B8466">
        <f>VLOOKUP(339,Requirements!A2:B2967,2,FALSE)</f>
        <v/>
      </c>
    </row>
    <row r="8467">
      <c r="A8467" t="inlineStr">
        <is>
          <t xml:space="preserve">voice </t>
        </is>
      </c>
      <c r="B8467">
        <f>VLOOKUP(362,Requirements!A2:B2967,2,FALSE)</f>
        <v/>
      </c>
    </row>
    <row r="8468">
      <c r="A8468" t="inlineStr">
        <is>
          <t xml:space="preserve">voice </t>
        </is>
      </c>
      <c r="B8468">
        <f>VLOOKUP(429,Requirements!A2:B2967,2,FALSE)</f>
        <v/>
      </c>
    </row>
    <row r="8469">
      <c r="A8469" t="inlineStr">
        <is>
          <t xml:space="preserve">voice </t>
        </is>
      </c>
      <c r="B8469">
        <f>VLOOKUP(507,Requirements!A2:B2967,2,FALSE)</f>
        <v/>
      </c>
    </row>
    <row r="8470">
      <c r="A8470" t="inlineStr">
        <is>
          <t xml:space="preserve">voice </t>
        </is>
      </c>
      <c r="B8470">
        <f>VLOOKUP(655,Requirements!A2:B2967,2,FALSE)</f>
        <v/>
      </c>
    </row>
    <row r="8471">
      <c r="A8471" t="inlineStr">
        <is>
          <t xml:space="preserve">voice </t>
        </is>
      </c>
      <c r="B8471">
        <f>VLOOKUP(656,Requirements!A2:B2967,2,FALSE)</f>
        <v/>
      </c>
    </row>
    <row r="8472">
      <c r="A8472" t="inlineStr">
        <is>
          <t xml:space="preserve">voice </t>
        </is>
      </c>
      <c r="B8472">
        <f>VLOOKUP(708,Requirements!A2:B2967,2,FALSE)</f>
        <v/>
      </c>
    </row>
    <row r="8473">
      <c r="A8473" t="inlineStr">
        <is>
          <t xml:space="preserve">voice </t>
        </is>
      </c>
      <c r="B8473">
        <f>VLOOKUP(714,Requirements!A2:B2967,2,FALSE)</f>
        <v/>
      </c>
    </row>
    <row r="8474">
      <c r="A8474" t="inlineStr">
        <is>
          <t xml:space="preserve">voice </t>
        </is>
      </c>
      <c r="B8474">
        <f>VLOOKUP(786,Requirements!A2:B2967,2,FALSE)</f>
        <v/>
      </c>
    </row>
    <row r="8475">
      <c r="A8475" t="inlineStr">
        <is>
          <t xml:space="preserve">voice </t>
        </is>
      </c>
      <c r="B8475">
        <f>VLOOKUP(873,Requirements!A2:B2967,2,FALSE)</f>
        <v/>
      </c>
    </row>
    <row r="8476">
      <c r="A8476" t="inlineStr">
        <is>
          <t xml:space="preserve">voice </t>
        </is>
      </c>
      <c r="B8476">
        <f>VLOOKUP(916,Requirements!A2:B2967,2,FALSE)</f>
        <v/>
      </c>
    </row>
    <row r="8477">
      <c r="A8477" t="inlineStr">
        <is>
          <t xml:space="preserve">voice </t>
        </is>
      </c>
      <c r="B8477">
        <f>VLOOKUP(923,Requirements!A2:B2967,2,FALSE)</f>
        <v/>
      </c>
    </row>
    <row r="8478">
      <c r="A8478" t="inlineStr">
        <is>
          <t xml:space="preserve">voice </t>
        </is>
      </c>
      <c r="B8478">
        <f>VLOOKUP(956,Requirements!A2:B2967,2,FALSE)</f>
        <v/>
      </c>
    </row>
    <row r="8479">
      <c r="A8479" t="inlineStr">
        <is>
          <t xml:space="preserve">voice </t>
        </is>
      </c>
      <c r="B8479">
        <f>VLOOKUP(958,Requirements!A2:B2967,2,FALSE)</f>
        <v/>
      </c>
    </row>
    <row r="8480">
      <c r="A8480" t="inlineStr">
        <is>
          <t xml:space="preserve">voice </t>
        </is>
      </c>
      <c r="B8480">
        <f>VLOOKUP(965,Requirements!A2:B2967,2,FALSE)</f>
        <v/>
      </c>
    </row>
    <row r="8481">
      <c r="A8481" t="inlineStr">
        <is>
          <t xml:space="preserve">voice </t>
        </is>
      </c>
      <c r="B8481">
        <f>VLOOKUP(1076,Requirements!A2:B2967,2,FALSE)</f>
        <v/>
      </c>
    </row>
    <row r="8482">
      <c r="A8482" t="inlineStr">
        <is>
          <t xml:space="preserve">voice </t>
        </is>
      </c>
      <c r="B8482">
        <f>VLOOKUP(1080,Requirements!A2:B2967,2,FALSE)</f>
        <v/>
      </c>
    </row>
    <row r="8483">
      <c r="A8483" t="inlineStr">
        <is>
          <t xml:space="preserve">voice </t>
        </is>
      </c>
      <c r="B8483">
        <f>VLOOKUP(1092,Requirements!A2:B2967,2,FALSE)</f>
        <v/>
      </c>
    </row>
    <row r="8484">
      <c r="A8484" t="inlineStr">
        <is>
          <t xml:space="preserve">voice </t>
        </is>
      </c>
      <c r="B8484">
        <f>VLOOKUP(1100,Requirements!A2:B2967,2,FALSE)</f>
        <v/>
      </c>
    </row>
    <row r="8485">
      <c r="A8485" t="inlineStr">
        <is>
          <t xml:space="preserve">voice </t>
        </is>
      </c>
      <c r="B8485">
        <f>VLOOKUP(1105,Requirements!A2:B2967,2,FALSE)</f>
        <v/>
      </c>
    </row>
    <row r="8486">
      <c r="A8486" t="inlineStr">
        <is>
          <t xml:space="preserve">voice </t>
        </is>
      </c>
      <c r="B8486">
        <f>VLOOKUP(1170,Requirements!A2:B2967,2,FALSE)</f>
        <v/>
      </c>
    </row>
    <row r="8487">
      <c r="A8487" t="inlineStr">
        <is>
          <t xml:space="preserve">voice </t>
        </is>
      </c>
      <c r="B8487">
        <f>VLOOKUP(1195,Requirements!A2:B2967,2,FALSE)</f>
        <v/>
      </c>
    </row>
    <row r="8488">
      <c r="A8488" t="inlineStr">
        <is>
          <t xml:space="preserve">voice </t>
        </is>
      </c>
      <c r="B8488">
        <f>VLOOKUP(1283,Requirements!A2:B2967,2,FALSE)</f>
        <v/>
      </c>
    </row>
    <row r="8489">
      <c r="A8489" t="inlineStr">
        <is>
          <t xml:space="preserve">voice </t>
        </is>
      </c>
      <c r="B8489">
        <f>VLOOKUP(1337,Requirements!A2:B2967,2,FALSE)</f>
        <v/>
      </c>
    </row>
    <row r="8490">
      <c r="A8490" t="inlineStr">
        <is>
          <t xml:space="preserve">voice </t>
        </is>
      </c>
      <c r="B8490">
        <f>VLOOKUP(1370,Requirements!A2:B2967,2,FALSE)</f>
        <v/>
      </c>
    </row>
    <row r="8491">
      <c r="A8491" t="inlineStr">
        <is>
          <t xml:space="preserve">voice </t>
        </is>
      </c>
      <c r="B8491">
        <f>VLOOKUP(1577,Requirements!A2:B2967,2,FALSE)</f>
        <v/>
      </c>
    </row>
    <row r="8492">
      <c r="A8492" t="inlineStr">
        <is>
          <t xml:space="preserve">voice </t>
        </is>
      </c>
      <c r="B8492">
        <f>VLOOKUP(1580,Requirements!A2:B2967,2,FALSE)</f>
        <v/>
      </c>
    </row>
    <row r="8493">
      <c r="A8493" t="inlineStr">
        <is>
          <t xml:space="preserve">voice </t>
        </is>
      </c>
      <c r="B8493">
        <f>VLOOKUP(1610,Requirements!A2:B2967,2,FALSE)</f>
        <v/>
      </c>
    </row>
    <row r="8494">
      <c r="A8494" t="inlineStr">
        <is>
          <t xml:space="preserve">voice </t>
        </is>
      </c>
      <c r="B8494">
        <f>VLOOKUP(1691,Requirements!A2:B2967,2,FALSE)</f>
        <v/>
      </c>
    </row>
    <row r="8495">
      <c r="A8495" t="inlineStr">
        <is>
          <t xml:space="preserve">voice </t>
        </is>
      </c>
      <c r="B8495">
        <f>VLOOKUP(1701,Requirements!A2:B2967,2,FALSE)</f>
        <v/>
      </c>
    </row>
    <row r="8496">
      <c r="A8496" t="inlineStr">
        <is>
          <t xml:space="preserve">voice </t>
        </is>
      </c>
      <c r="B8496">
        <f>VLOOKUP(1704,Requirements!A2:B2967,2,FALSE)</f>
        <v/>
      </c>
    </row>
    <row r="8497">
      <c r="A8497" t="inlineStr">
        <is>
          <t xml:space="preserve">voice </t>
        </is>
      </c>
      <c r="B8497">
        <f>VLOOKUP(2047,Requirements!A2:B2967,2,FALSE)</f>
        <v/>
      </c>
    </row>
    <row r="8498">
      <c r="A8498" t="inlineStr">
        <is>
          <t xml:space="preserve">voice </t>
        </is>
      </c>
      <c r="B8498">
        <f>VLOOKUP(2080,Requirements!A2:B2967,2,FALSE)</f>
        <v/>
      </c>
    </row>
    <row r="8499">
      <c r="A8499" t="inlineStr">
        <is>
          <t xml:space="preserve">voice </t>
        </is>
      </c>
      <c r="B8499">
        <f>VLOOKUP(2110,Requirements!A2:B2967,2,FALSE)</f>
        <v/>
      </c>
    </row>
    <row r="8500">
      <c r="A8500" t="inlineStr">
        <is>
          <t xml:space="preserve">voice </t>
        </is>
      </c>
      <c r="B8500">
        <f>VLOOKUP(2117,Requirements!A2:B2967,2,FALSE)</f>
        <v/>
      </c>
    </row>
    <row r="8501">
      <c r="A8501" t="inlineStr">
        <is>
          <t xml:space="preserve">voice </t>
        </is>
      </c>
      <c r="B8501">
        <f>VLOOKUP(2134,Requirements!A2:B2967,2,FALSE)</f>
        <v/>
      </c>
    </row>
    <row r="8502">
      <c r="A8502" t="inlineStr">
        <is>
          <t xml:space="preserve">voice </t>
        </is>
      </c>
      <c r="B8502">
        <f>VLOOKUP(2175,Requirements!A2:B2967,2,FALSE)</f>
        <v/>
      </c>
    </row>
    <row r="8503">
      <c r="A8503" t="inlineStr">
        <is>
          <t xml:space="preserve">voice </t>
        </is>
      </c>
      <c r="B8503">
        <f>VLOOKUP(2228,Requirements!A2:B2967,2,FALSE)</f>
        <v/>
      </c>
    </row>
    <row r="8504">
      <c r="A8504" t="inlineStr">
        <is>
          <t xml:space="preserve">voice </t>
        </is>
      </c>
      <c r="B8504">
        <f>VLOOKUP(2246,Requirements!A2:B2967,2,FALSE)</f>
        <v/>
      </c>
    </row>
    <row r="8505">
      <c r="A8505" t="inlineStr">
        <is>
          <t xml:space="preserve">voice </t>
        </is>
      </c>
      <c r="B8505">
        <f>VLOOKUP(2322,Requirements!A2:B2967,2,FALSE)</f>
        <v/>
      </c>
    </row>
    <row r="8506">
      <c r="A8506" t="inlineStr">
        <is>
          <t xml:space="preserve">voice </t>
        </is>
      </c>
      <c r="B8506">
        <f>VLOOKUP(2345,Requirements!A2:B2967,2,FALSE)</f>
        <v/>
      </c>
    </row>
    <row r="8507">
      <c r="A8507" t="inlineStr">
        <is>
          <t xml:space="preserve">voice </t>
        </is>
      </c>
      <c r="B8507">
        <f>VLOOKUP(2376,Requirements!A2:B2967,2,FALSE)</f>
        <v/>
      </c>
    </row>
    <row r="8508">
      <c r="A8508" t="inlineStr">
        <is>
          <t xml:space="preserve">voice </t>
        </is>
      </c>
      <c r="B8508">
        <f>VLOOKUP(2412,Requirements!A2:B2967,2,FALSE)</f>
        <v/>
      </c>
    </row>
    <row r="8509">
      <c r="A8509" t="inlineStr">
        <is>
          <t xml:space="preserve">voice </t>
        </is>
      </c>
      <c r="B8509">
        <f>VLOOKUP(2497,Requirements!A2:B2967,2,FALSE)</f>
        <v/>
      </c>
    </row>
    <row r="8510">
      <c r="A8510" t="inlineStr">
        <is>
          <t xml:space="preserve">voice </t>
        </is>
      </c>
      <c r="B8510">
        <f>VLOOKUP(2506,Requirements!A2:B2967,2,FALSE)</f>
        <v/>
      </c>
    </row>
    <row r="8511">
      <c r="A8511" t="inlineStr">
        <is>
          <t xml:space="preserve">voice </t>
        </is>
      </c>
      <c r="B8511">
        <f>VLOOKUP(2508,Requirements!A2:B2967,2,FALSE)</f>
        <v/>
      </c>
    </row>
    <row r="8512">
      <c r="A8512" t="inlineStr">
        <is>
          <t xml:space="preserve">voice </t>
        </is>
      </c>
      <c r="B8512">
        <f>VLOOKUP(2546,Requirements!A2:B2967,2,FALSE)</f>
        <v/>
      </c>
    </row>
    <row r="8513">
      <c r="A8513" t="inlineStr">
        <is>
          <t xml:space="preserve">voice </t>
        </is>
      </c>
      <c r="B8513">
        <f>VLOOKUP(2704,Requirements!A2:B2967,2,FALSE)</f>
        <v/>
      </c>
    </row>
    <row r="8514">
      <c r="A8514" t="inlineStr">
        <is>
          <t xml:space="preserve">voice </t>
        </is>
      </c>
      <c r="B8514">
        <f>VLOOKUP(2797,Requirements!A2:B2967,2,FALSE)</f>
        <v/>
      </c>
    </row>
    <row r="8515">
      <c r="A8515" t="inlineStr">
        <is>
          <t xml:space="preserve">voice </t>
        </is>
      </c>
      <c r="B8515">
        <f>VLOOKUP(2835,Requirements!A2:B2967,2,FALSE)</f>
        <v/>
      </c>
    </row>
    <row r="8516">
      <c r="A8516" t="inlineStr">
        <is>
          <t xml:space="preserve">voice </t>
        </is>
      </c>
      <c r="B8516">
        <f>VLOOKUP(2852,Requirements!A2:B2967,2,FALSE)</f>
        <v/>
      </c>
    </row>
    <row r="8517">
      <c r="A8517" t="inlineStr">
        <is>
          <t xml:space="preserve">voice </t>
        </is>
      </c>
      <c r="B8517">
        <f>VLOOKUP(2938,Requirements!A2:B2967,2,FALSE)</f>
        <v/>
      </c>
    </row>
    <row r="8518">
      <c r="A8518" t="inlineStr">
        <is>
          <t xml:space="preserve">voice </t>
        </is>
      </c>
      <c r="B8518">
        <f>VLOOKUP(2939,Requirements!A2:B2967,2,FALSE)</f>
        <v/>
      </c>
    </row>
    <row r="8519">
      <c r="A8519" t="inlineStr">
        <is>
          <t xml:space="preserve">voice </t>
        </is>
      </c>
      <c r="B8519">
        <f>VLOOKUP(2943,Requirements!A2:B2967,2,FALSE)</f>
        <v/>
      </c>
    </row>
    <row r="8520">
      <c r="A8520" t="inlineStr">
        <is>
          <t xml:space="preserve">voice </t>
        </is>
      </c>
      <c r="B8520">
        <f>VLOOKUP(2948,Requirements!A2:B2967,2,FALSE)</f>
        <v/>
      </c>
    </row>
    <row r="8521">
      <c r="A8521" t="inlineStr">
        <is>
          <t xml:space="preserve">voice </t>
        </is>
      </c>
      <c r="B8521">
        <f>VLOOKUP(2960,Requirements!A2:B2967,2,FALSE)</f>
        <v/>
      </c>
    </row>
    <row r="8522">
      <c r="A8522" t="inlineStr">
        <is>
          <t xml:space="preserve">voice </t>
        </is>
      </c>
      <c r="B8522">
        <f>VLOOKUP(3059,Requirements!A2:B2967,2,FALSE)</f>
        <v/>
      </c>
    </row>
    <row r="8523">
      <c r="A8523" t="inlineStr">
        <is>
          <t xml:space="preserve">voice </t>
        </is>
      </c>
      <c r="B8523">
        <f>VLOOKUP(3061,Requirements!A2:B2967,2,FALSE)</f>
        <v/>
      </c>
    </row>
    <row r="8524">
      <c r="A8524" t="inlineStr">
        <is>
          <t xml:space="preserve">voice </t>
        </is>
      </c>
      <c r="B8524">
        <f>VLOOKUP(3074,Requirements!A2:B2967,2,FALSE)</f>
        <v/>
      </c>
    </row>
    <row r="8525">
      <c r="A8525" t="inlineStr">
        <is>
          <t xml:space="preserve">voice </t>
        </is>
      </c>
      <c r="B8525">
        <f>VLOOKUP(3078,Requirements!A2:B2967,2,FALSE)</f>
        <v/>
      </c>
    </row>
    <row r="8526">
      <c r="A8526" t="inlineStr">
        <is>
          <t xml:space="preserve">voice </t>
        </is>
      </c>
      <c r="B8526">
        <f>VLOOKUP(3088,Requirements!A2:B2967,2,FALSE)</f>
        <v/>
      </c>
    </row>
    <row r="8527">
      <c r="A8527" t="inlineStr">
        <is>
          <t xml:space="preserve">voice </t>
        </is>
      </c>
      <c r="B8527">
        <f>VLOOKUP(3094,Requirements!A2:B2967,2,FALSE)</f>
        <v/>
      </c>
    </row>
    <row r="8528">
      <c r="A8528" t="inlineStr">
        <is>
          <t xml:space="preserve">voice </t>
        </is>
      </c>
      <c r="B8528">
        <f>VLOOKUP(3187,Requirements!A2:B2967,2,FALSE)</f>
        <v/>
      </c>
    </row>
    <row r="8529">
      <c r="A8529" t="inlineStr">
        <is>
          <t xml:space="preserve">voice </t>
        </is>
      </c>
      <c r="B8529">
        <f>VLOOKUP(3190,Requirements!A2:B2967,2,FALSE)</f>
        <v/>
      </c>
    </row>
    <row r="8530">
      <c r="A8530" t="inlineStr">
        <is>
          <t xml:space="preserve">voice </t>
        </is>
      </c>
      <c r="B8530">
        <f>VLOOKUP(3207,Requirements!A2:B2967,2,FALSE)</f>
        <v/>
      </c>
    </row>
    <row r="8531">
      <c r="A8531" t="inlineStr">
        <is>
          <t xml:space="preserve">exit </t>
        </is>
      </c>
      <c r="B8531">
        <f>VLOOKUP(171,Requirements!A2:B2967,2,FALSE)</f>
        <v/>
      </c>
    </row>
    <row r="8532">
      <c r="A8532" t="inlineStr">
        <is>
          <t xml:space="preserve">exit </t>
        </is>
      </c>
      <c r="B8532">
        <f>VLOOKUP(543,Requirements!A2:B2967,2,FALSE)</f>
        <v/>
      </c>
    </row>
    <row r="8533">
      <c r="A8533" t="inlineStr">
        <is>
          <t xml:space="preserve">exit </t>
        </is>
      </c>
      <c r="B8533">
        <f>VLOOKUP(697,Requirements!A2:B2967,2,FALSE)</f>
        <v/>
      </c>
    </row>
    <row r="8534">
      <c r="A8534" t="inlineStr">
        <is>
          <t xml:space="preserve">exit </t>
        </is>
      </c>
      <c r="B8534">
        <f>VLOOKUP(2094,Requirements!A2:B2967,2,FALSE)</f>
        <v/>
      </c>
    </row>
    <row r="8535">
      <c r="A8535" t="inlineStr">
        <is>
          <t xml:space="preserve">exit </t>
        </is>
      </c>
      <c r="B8535">
        <f>VLOOKUP(2429,Requirements!A2:B2967,2,FALSE)</f>
        <v/>
      </c>
    </row>
    <row r="8536">
      <c r="A8536" t="inlineStr">
        <is>
          <t xml:space="preserve">life </t>
        </is>
      </c>
      <c r="B8536">
        <f>VLOOKUP(173,Requirements!A2:B2967,2,FALSE)</f>
        <v/>
      </c>
    </row>
    <row r="8537">
      <c r="A8537" t="inlineStr">
        <is>
          <t xml:space="preserve">life </t>
        </is>
      </c>
      <c r="B8537">
        <f>VLOOKUP(262,Requirements!A2:B2967,2,FALSE)</f>
        <v/>
      </c>
    </row>
    <row r="8538">
      <c r="A8538" t="inlineStr">
        <is>
          <t xml:space="preserve">life </t>
        </is>
      </c>
      <c r="B8538">
        <f>VLOOKUP(306,Requirements!A2:B2967,2,FALSE)</f>
        <v/>
      </c>
    </row>
    <row r="8539">
      <c r="A8539" t="inlineStr">
        <is>
          <t xml:space="preserve">life </t>
        </is>
      </c>
      <c r="B8539">
        <f>VLOOKUP(374,Requirements!A2:B2967,2,FALSE)</f>
        <v/>
      </c>
    </row>
    <row r="8540">
      <c r="A8540" t="inlineStr">
        <is>
          <t xml:space="preserve">life </t>
        </is>
      </c>
      <c r="B8540">
        <f>VLOOKUP(854,Requirements!A2:B2967,2,FALSE)</f>
        <v/>
      </c>
    </row>
    <row r="8541">
      <c r="A8541" t="inlineStr">
        <is>
          <t xml:space="preserve">life </t>
        </is>
      </c>
      <c r="B8541">
        <f>VLOOKUP(1383,Requirements!A2:B2967,2,FALSE)</f>
        <v/>
      </c>
    </row>
    <row r="8542">
      <c r="A8542" t="inlineStr">
        <is>
          <t xml:space="preserve">life </t>
        </is>
      </c>
      <c r="B8542">
        <f>VLOOKUP(1425,Requirements!A2:B2967,2,FALSE)</f>
        <v/>
      </c>
    </row>
    <row r="8543">
      <c r="A8543" t="inlineStr">
        <is>
          <t xml:space="preserve">life </t>
        </is>
      </c>
      <c r="B8543">
        <f>VLOOKUP(1454,Requirements!A2:B2967,2,FALSE)</f>
        <v/>
      </c>
    </row>
    <row r="8544">
      <c r="A8544" t="inlineStr">
        <is>
          <t xml:space="preserve">life </t>
        </is>
      </c>
      <c r="B8544">
        <f>VLOOKUP(1835,Requirements!A2:B2967,2,FALSE)</f>
        <v/>
      </c>
    </row>
    <row r="8545">
      <c r="A8545" t="inlineStr">
        <is>
          <t xml:space="preserve">life </t>
        </is>
      </c>
      <c r="B8545">
        <f>VLOOKUP(1950,Requirements!A2:B2967,2,FALSE)</f>
        <v/>
      </c>
    </row>
    <row r="8546">
      <c r="A8546" t="inlineStr">
        <is>
          <t xml:space="preserve">life </t>
        </is>
      </c>
      <c r="B8546">
        <f>VLOOKUP(2281,Requirements!A2:B2967,2,FALSE)</f>
        <v/>
      </c>
    </row>
    <row r="8547">
      <c r="A8547" t="inlineStr">
        <is>
          <t xml:space="preserve">life </t>
        </is>
      </c>
      <c r="B8547">
        <f>VLOOKUP(2405,Requirements!A2:B2967,2,FALSE)</f>
        <v/>
      </c>
    </row>
    <row r="8548">
      <c r="A8548" t="inlineStr">
        <is>
          <t xml:space="preserve">life </t>
        </is>
      </c>
      <c r="B8548">
        <f>VLOOKUP(2591,Requirements!A2:B2967,2,FALSE)</f>
        <v/>
      </c>
    </row>
    <row r="8549">
      <c r="A8549" t="inlineStr">
        <is>
          <t xml:space="preserve">dust </t>
        </is>
      </c>
      <c r="B8549">
        <f>VLOOKUP(174,Requirements!A2:B2967,2,FALSE)</f>
        <v/>
      </c>
    </row>
    <row r="8550">
      <c r="A8550" t="inlineStr">
        <is>
          <t xml:space="preserve">dust </t>
        </is>
      </c>
      <c r="B8550">
        <f>VLOOKUP(763,Requirements!A2:B2967,2,FALSE)</f>
        <v/>
      </c>
    </row>
    <row r="8551">
      <c r="A8551" t="inlineStr">
        <is>
          <t xml:space="preserve">dust </t>
        </is>
      </c>
      <c r="B8551">
        <f>VLOOKUP(1023,Requirements!A2:B2967,2,FALSE)</f>
        <v/>
      </c>
    </row>
    <row r="8552">
      <c r="A8552" t="inlineStr">
        <is>
          <t xml:space="preserve">dust </t>
        </is>
      </c>
      <c r="B8552">
        <f>VLOOKUP(1074,Requirements!A2:B2967,2,FALSE)</f>
        <v/>
      </c>
    </row>
    <row r="8553">
      <c r="A8553" t="inlineStr">
        <is>
          <t xml:space="preserve">dust </t>
        </is>
      </c>
      <c r="B8553">
        <f>VLOOKUP(1756,Requirements!A2:B2967,2,FALSE)</f>
        <v/>
      </c>
    </row>
    <row r="8554">
      <c r="A8554" t="inlineStr">
        <is>
          <t xml:space="preserve">dust </t>
        </is>
      </c>
      <c r="B8554">
        <f>VLOOKUP(1950,Requirements!A2:B2967,2,FALSE)</f>
        <v/>
      </c>
    </row>
    <row r="8555">
      <c r="A8555" t="inlineStr">
        <is>
          <t xml:space="preserve">dust </t>
        </is>
      </c>
      <c r="B8555">
        <f>VLOOKUP(2128,Requirements!A2:B2967,2,FALSE)</f>
        <v/>
      </c>
    </row>
    <row r="8556">
      <c r="A8556" t="inlineStr">
        <is>
          <t xml:space="preserve">fresh air </t>
        </is>
      </c>
      <c r="B8556">
        <f>VLOOKUP(174,Requirements!A2:B2967,2,FALSE)</f>
        <v/>
      </c>
    </row>
    <row r="8557">
      <c r="A8557" t="inlineStr">
        <is>
          <t xml:space="preserve">fresh air </t>
        </is>
      </c>
      <c r="B8557">
        <f>VLOOKUP(1094,Requirements!A2:B2967,2,FALSE)</f>
        <v/>
      </c>
    </row>
    <row r="8558">
      <c r="A8558" t="inlineStr">
        <is>
          <t xml:space="preserve">fresh air </t>
        </is>
      </c>
      <c r="B8558">
        <f>VLOOKUP(1485,Requirements!A2:B2967,2,FALSE)</f>
        <v/>
      </c>
    </row>
    <row r="8559">
      <c r="A8559" t="inlineStr">
        <is>
          <t xml:space="preserve">fresh air </t>
        </is>
      </c>
      <c r="B8559">
        <f>VLOOKUP(1876,Requirements!A2:B2967,2,FALSE)</f>
        <v/>
      </c>
    </row>
    <row r="8560">
      <c r="A8560" t="inlineStr">
        <is>
          <t xml:space="preserve">fresh air </t>
        </is>
      </c>
      <c r="B8560">
        <f>VLOOKUP(2151,Requirements!A2:B2967,2,FALSE)</f>
        <v/>
      </c>
    </row>
    <row r="8561">
      <c r="A8561" t="inlineStr">
        <is>
          <t xml:space="preserve">fresh air </t>
        </is>
      </c>
      <c r="B8561">
        <f>VLOOKUP(2249,Requirements!A2:B2967,2,FALSE)</f>
        <v/>
      </c>
    </row>
    <row r="8562">
      <c r="A8562" t="inlineStr">
        <is>
          <t xml:space="preserve">fresh air </t>
        </is>
      </c>
      <c r="B8562">
        <f>VLOOKUP(2956,Requirements!A2:B2967,2,FALSE)</f>
        <v/>
      </c>
    </row>
    <row r="8563">
      <c r="A8563" t="inlineStr">
        <is>
          <t xml:space="preserve">fresh air </t>
        </is>
      </c>
      <c r="B8563">
        <f>VLOOKUP(3228,Requirements!A2:B2967,2,FALSE)</f>
        <v/>
      </c>
    </row>
    <row r="8564">
      <c r="A8564" t="inlineStr">
        <is>
          <t xml:space="preserve">early </t>
        </is>
      </c>
      <c r="B8564">
        <f>VLOOKUP(175,Requirements!A2:B2967,2,FALSE)</f>
        <v/>
      </c>
    </row>
    <row r="8565">
      <c r="A8565" t="inlineStr">
        <is>
          <t xml:space="preserve">early </t>
        </is>
      </c>
      <c r="B8565">
        <f>VLOOKUP(775,Requirements!A2:B2967,2,FALSE)</f>
        <v/>
      </c>
    </row>
    <row r="8566">
      <c r="A8566" t="inlineStr">
        <is>
          <t xml:space="preserve">early </t>
        </is>
      </c>
      <c r="B8566">
        <f>VLOOKUP(812,Requirements!A2:B2967,2,FALSE)</f>
        <v/>
      </c>
    </row>
    <row r="8567">
      <c r="A8567" t="inlineStr">
        <is>
          <t xml:space="preserve">early </t>
        </is>
      </c>
      <c r="B8567">
        <f>VLOOKUP(1193,Requirements!A2:B2967,2,FALSE)</f>
        <v/>
      </c>
    </row>
    <row r="8568">
      <c r="A8568" t="inlineStr">
        <is>
          <t xml:space="preserve">early </t>
        </is>
      </c>
      <c r="B8568">
        <f>VLOOKUP(1974,Requirements!A2:B2967,2,FALSE)</f>
        <v/>
      </c>
    </row>
    <row r="8569">
      <c r="A8569" t="inlineStr">
        <is>
          <t xml:space="preserve">early </t>
        </is>
      </c>
      <c r="B8569">
        <f>VLOOKUP(2279,Requirements!A2:B2967,2,FALSE)</f>
        <v/>
      </c>
    </row>
    <row r="8570">
      <c r="A8570" t="inlineStr">
        <is>
          <t xml:space="preserve">picture </t>
        </is>
      </c>
      <c r="B8570">
        <f>VLOOKUP(176,Requirements!A2:B2967,2,FALSE)</f>
        <v/>
      </c>
    </row>
    <row r="8571">
      <c r="A8571" t="inlineStr">
        <is>
          <t xml:space="preserve">picture </t>
        </is>
      </c>
      <c r="B8571">
        <f>VLOOKUP(191,Requirements!A2:B2967,2,FALSE)</f>
        <v/>
      </c>
    </row>
    <row r="8572">
      <c r="A8572" t="inlineStr">
        <is>
          <t xml:space="preserve">picture </t>
        </is>
      </c>
      <c r="B8572">
        <f>VLOOKUP(201,Requirements!A2:B2967,2,FALSE)</f>
        <v/>
      </c>
    </row>
    <row r="8573">
      <c r="A8573" t="inlineStr">
        <is>
          <t xml:space="preserve">picture </t>
        </is>
      </c>
      <c r="B8573">
        <f>VLOOKUP(772,Requirements!A2:B2967,2,FALSE)</f>
        <v/>
      </c>
    </row>
    <row r="8574">
      <c r="A8574" t="inlineStr">
        <is>
          <t xml:space="preserve">picture </t>
        </is>
      </c>
      <c r="B8574">
        <f>VLOOKUP(928,Requirements!A2:B2967,2,FALSE)</f>
        <v/>
      </c>
    </row>
    <row r="8575">
      <c r="A8575" t="inlineStr">
        <is>
          <t xml:space="preserve">picture </t>
        </is>
      </c>
      <c r="B8575">
        <f>VLOOKUP(1832,Requirements!A2:B2967,2,FALSE)</f>
        <v/>
      </c>
    </row>
    <row r="8576">
      <c r="A8576" t="inlineStr">
        <is>
          <t xml:space="preserve">electric </t>
        </is>
      </c>
      <c r="B8576">
        <f>VLOOKUP(178,Requirements!A2:B2967,2,FALSE)</f>
        <v/>
      </c>
    </row>
    <row r="8577">
      <c r="A8577" t="inlineStr">
        <is>
          <t xml:space="preserve">electric </t>
        </is>
      </c>
      <c r="B8577">
        <f>VLOOKUP(564,Requirements!A2:B2967,2,FALSE)</f>
        <v/>
      </c>
    </row>
    <row r="8578">
      <c r="A8578" t="inlineStr">
        <is>
          <t xml:space="preserve">electric </t>
        </is>
      </c>
      <c r="B8578">
        <f>VLOOKUP(942,Requirements!A2:B2967,2,FALSE)</f>
        <v/>
      </c>
    </row>
    <row r="8579">
      <c r="A8579" t="inlineStr">
        <is>
          <t xml:space="preserve">electric </t>
        </is>
      </c>
      <c r="B8579">
        <f>VLOOKUP(1529,Requirements!A2:B2967,2,FALSE)</f>
        <v/>
      </c>
    </row>
    <row r="8580">
      <c r="A8580" t="inlineStr">
        <is>
          <t xml:space="preserve">electric </t>
        </is>
      </c>
      <c r="B8580">
        <f>VLOOKUP(1574,Requirements!A2:B2967,2,FALSE)</f>
        <v/>
      </c>
    </row>
    <row r="8581">
      <c r="A8581" t="inlineStr">
        <is>
          <t xml:space="preserve">electric </t>
        </is>
      </c>
      <c r="B8581">
        <f>VLOOKUP(1799,Requirements!A2:B2967,2,FALSE)</f>
        <v/>
      </c>
    </row>
    <row r="8582">
      <c r="A8582" t="inlineStr">
        <is>
          <t xml:space="preserve">electric </t>
        </is>
      </c>
      <c r="B8582">
        <f>VLOOKUP(2265,Requirements!A2:B2967,2,FALSE)</f>
        <v/>
      </c>
    </row>
    <row r="8583">
      <c r="A8583" t="inlineStr">
        <is>
          <t xml:space="preserve">electric </t>
        </is>
      </c>
      <c r="B8583">
        <f>VLOOKUP(2454,Requirements!A2:B2967,2,FALSE)</f>
        <v/>
      </c>
    </row>
    <row r="8584">
      <c r="A8584" t="inlineStr">
        <is>
          <t xml:space="preserve">electric </t>
        </is>
      </c>
      <c r="B8584">
        <f>VLOOKUP(2945,Requirements!A2:B2967,2,FALSE)</f>
        <v/>
      </c>
    </row>
    <row r="8585">
      <c r="A8585" t="inlineStr">
        <is>
          <t xml:space="preserve">electric </t>
        </is>
      </c>
      <c r="B8585">
        <f>VLOOKUP(3264,Requirements!A2:B2967,2,FALSE)</f>
        <v/>
      </c>
    </row>
    <row r="8586">
      <c r="A8586" t="inlineStr">
        <is>
          <t xml:space="preserve">foot </t>
        </is>
      </c>
      <c r="B8586">
        <f>VLOOKUP(180,Requirements!A2:B2967,2,FALSE)</f>
        <v/>
      </c>
    </row>
    <row r="8587">
      <c r="A8587" t="inlineStr">
        <is>
          <t xml:space="preserve">foot </t>
        </is>
      </c>
      <c r="B8587">
        <f>VLOOKUP(727,Requirements!A2:B2967,2,FALSE)</f>
        <v/>
      </c>
    </row>
    <row r="8588">
      <c r="A8588" t="inlineStr">
        <is>
          <t xml:space="preserve">foot </t>
        </is>
      </c>
      <c r="B8588">
        <f>VLOOKUP(1220,Requirements!A2:B2967,2,FALSE)</f>
        <v/>
      </c>
    </row>
    <row r="8589">
      <c r="A8589" t="inlineStr">
        <is>
          <t xml:space="preserve">foot </t>
        </is>
      </c>
      <c r="B8589">
        <f>VLOOKUP(1261,Requirements!A2:B2967,2,FALSE)</f>
        <v/>
      </c>
    </row>
    <row r="8590">
      <c r="A8590" t="inlineStr">
        <is>
          <t xml:space="preserve">foot </t>
        </is>
      </c>
      <c r="B8590">
        <f>VLOOKUP(1742,Requirements!A2:B2967,2,FALSE)</f>
        <v/>
      </c>
    </row>
    <row r="8591">
      <c r="A8591" t="inlineStr">
        <is>
          <t xml:space="preserve">foot </t>
        </is>
      </c>
      <c r="B8591">
        <f>VLOOKUP(1855,Requirements!A2:B2967,2,FALSE)</f>
        <v/>
      </c>
    </row>
    <row r="8592">
      <c r="A8592" t="inlineStr">
        <is>
          <t xml:space="preserve">foot </t>
        </is>
      </c>
      <c r="B8592">
        <f>VLOOKUP(2438,Requirements!A2:B2967,2,FALSE)</f>
        <v/>
      </c>
    </row>
    <row r="8593">
      <c r="A8593" t="inlineStr">
        <is>
          <t xml:space="preserve">foot </t>
        </is>
      </c>
      <c r="B8593">
        <f>VLOOKUP(2908,Requirements!A2:B2967,2,FALSE)</f>
        <v/>
      </c>
    </row>
    <row r="8594">
      <c r="A8594" t="inlineStr">
        <is>
          <t xml:space="preserve">electronic device </t>
        </is>
      </c>
      <c r="B8594">
        <f>VLOOKUP(183,Requirements!A2:B2967,2,FALSE)</f>
        <v/>
      </c>
    </row>
    <row r="8595">
      <c r="A8595" t="inlineStr">
        <is>
          <t xml:space="preserve">electronic device </t>
        </is>
      </c>
      <c r="B8595">
        <f>VLOOKUP(517,Requirements!A2:B2967,2,FALSE)</f>
        <v/>
      </c>
    </row>
    <row r="8596">
      <c r="A8596" t="inlineStr">
        <is>
          <t xml:space="preserve">electronic device </t>
        </is>
      </c>
      <c r="B8596">
        <f>VLOOKUP(654,Requirements!A2:B2967,2,FALSE)</f>
        <v/>
      </c>
    </row>
    <row r="8597">
      <c r="A8597" t="inlineStr">
        <is>
          <t xml:space="preserve">electronic device </t>
        </is>
      </c>
      <c r="B8597">
        <f>VLOOKUP(1099,Requirements!A2:B2967,2,FALSE)</f>
        <v/>
      </c>
    </row>
    <row r="8598">
      <c r="A8598" t="inlineStr">
        <is>
          <t xml:space="preserve">electronic device </t>
        </is>
      </c>
      <c r="B8598">
        <f>VLOOKUP(1199,Requirements!A2:B2967,2,FALSE)</f>
        <v/>
      </c>
    </row>
    <row r="8599">
      <c r="A8599" t="inlineStr">
        <is>
          <t xml:space="preserve">electronic device </t>
        </is>
      </c>
      <c r="B8599">
        <f>VLOOKUP(3169,Requirements!A2:B2967,2,FALSE)</f>
        <v/>
      </c>
    </row>
    <row r="8600">
      <c r="A8600" t="inlineStr">
        <is>
          <t xml:space="preserve">electronic device </t>
        </is>
      </c>
      <c r="B8600">
        <f>VLOOKUP(3210,Requirements!A2:B2967,2,FALSE)</f>
        <v/>
      </c>
    </row>
    <row r="8601">
      <c r="A8601" t="inlineStr">
        <is>
          <t xml:space="preserve">sense </t>
        </is>
      </c>
      <c r="B8601">
        <f>VLOOKUP(184,Requirements!A2:B2967,2,FALSE)</f>
        <v/>
      </c>
    </row>
    <row r="8602">
      <c r="A8602" t="inlineStr">
        <is>
          <t xml:space="preserve">sense </t>
        </is>
      </c>
      <c r="B8602">
        <f>VLOOKUP(233,Requirements!A2:B2967,2,FALSE)</f>
        <v/>
      </c>
    </row>
    <row r="8603">
      <c r="A8603" t="inlineStr">
        <is>
          <t xml:space="preserve">sense </t>
        </is>
      </c>
      <c r="B8603">
        <f>VLOOKUP(243,Requirements!A2:B2967,2,FALSE)</f>
        <v/>
      </c>
    </row>
    <row r="8604">
      <c r="A8604" t="inlineStr">
        <is>
          <t xml:space="preserve">sense </t>
        </is>
      </c>
      <c r="B8604">
        <f>VLOOKUP(460,Requirements!A2:B2967,2,FALSE)</f>
        <v/>
      </c>
    </row>
    <row r="8605">
      <c r="A8605" t="inlineStr">
        <is>
          <t xml:space="preserve">sense </t>
        </is>
      </c>
      <c r="B8605">
        <f>VLOOKUP(728,Requirements!A2:B2967,2,FALSE)</f>
        <v/>
      </c>
    </row>
    <row r="8606">
      <c r="A8606" t="inlineStr">
        <is>
          <t xml:space="preserve">sense </t>
        </is>
      </c>
      <c r="B8606">
        <f>VLOOKUP(736,Requirements!A2:B2967,2,FALSE)</f>
        <v/>
      </c>
    </row>
    <row r="8607">
      <c r="A8607" t="inlineStr">
        <is>
          <t xml:space="preserve">sense </t>
        </is>
      </c>
      <c r="B8607">
        <f>VLOOKUP(737,Requirements!A2:B2967,2,FALSE)</f>
        <v/>
      </c>
    </row>
    <row r="8608">
      <c r="A8608" t="inlineStr">
        <is>
          <t xml:space="preserve">sense </t>
        </is>
      </c>
      <c r="B8608">
        <f>VLOOKUP(838,Requirements!A2:B2967,2,FALSE)</f>
        <v/>
      </c>
    </row>
    <row r="8609">
      <c r="A8609" t="inlineStr">
        <is>
          <t xml:space="preserve">sense </t>
        </is>
      </c>
      <c r="B8609">
        <f>VLOOKUP(1204,Requirements!A2:B2967,2,FALSE)</f>
        <v/>
      </c>
    </row>
    <row r="8610">
      <c r="A8610" t="inlineStr">
        <is>
          <t xml:space="preserve">sense </t>
        </is>
      </c>
      <c r="B8610">
        <f>VLOOKUP(1506,Requirements!A2:B2967,2,FALSE)</f>
        <v/>
      </c>
    </row>
    <row r="8611">
      <c r="A8611" t="inlineStr">
        <is>
          <t xml:space="preserve">sense </t>
        </is>
      </c>
      <c r="B8611">
        <f>VLOOKUP(1516,Requirements!A2:B2967,2,FALSE)</f>
        <v/>
      </c>
    </row>
    <row r="8612">
      <c r="A8612" t="inlineStr">
        <is>
          <t xml:space="preserve">sense </t>
        </is>
      </c>
      <c r="B8612">
        <f>VLOOKUP(1938,Requirements!A2:B2967,2,FALSE)</f>
        <v/>
      </c>
    </row>
    <row r="8613">
      <c r="A8613" t="inlineStr">
        <is>
          <t xml:space="preserve">sense </t>
        </is>
      </c>
      <c r="B8613">
        <f>VLOOKUP(1988,Requirements!A2:B2967,2,FALSE)</f>
        <v/>
      </c>
    </row>
    <row r="8614">
      <c r="A8614" t="inlineStr">
        <is>
          <t xml:space="preserve">sense </t>
        </is>
      </c>
      <c r="B8614">
        <f>VLOOKUP(2000,Requirements!A2:B2967,2,FALSE)</f>
        <v/>
      </c>
    </row>
    <row r="8615">
      <c r="A8615" t="inlineStr">
        <is>
          <t xml:space="preserve">sense </t>
        </is>
      </c>
      <c r="B8615">
        <f>VLOOKUP(2004,Requirements!A2:B2967,2,FALSE)</f>
        <v/>
      </c>
    </row>
    <row r="8616">
      <c r="A8616" t="inlineStr">
        <is>
          <t xml:space="preserve">sense </t>
        </is>
      </c>
      <c r="B8616">
        <f>VLOOKUP(2012,Requirements!A2:B2967,2,FALSE)</f>
        <v/>
      </c>
    </row>
    <row r="8617">
      <c r="A8617" t="inlineStr">
        <is>
          <t xml:space="preserve">sense </t>
        </is>
      </c>
      <c r="B8617">
        <f>VLOOKUP(2050,Requirements!A2:B2967,2,FALSE)</f>
        <v/>
      </c>
    </row>
    <row r="8618">
      <c r="A8618" t="inlineStr">
        <is>
          <t xml:space="preserve">sense </t>
        </is>
      </c>
      <c r="B8618">
        <f>VLOOKUP(2208,Requirements!A2:B2967,2,FALSE)</f>
        <v/>
      </c>
    </row>
    <row r="8619">
      <c r="A8619" t="inlineStr">
        <is>
          <t xml:space="preserve">sense </t>
        </is>
      </c>
      <c r="B8619">
        <f>VLOOKUP(2251,Requirements!A2:B2967,2,FALSE)</f>
        <v/>
      </c>
    </row>
    <row r="8620">
      <c r="A8620" t="inlineStr">
        <is>
          <t xml:space="preserve">sense </t>
        </is>
      </c>
      <c r="B8620">
        <f>VLOOKUP(2265,Requirements!A2:B2967,2,FALSE)</f>
        <v/>
      </c>
    </row>
    <row r="8621">
      <c r="A8621" t="inlineStr">
        <is>
          <t xml:space="preserve">sense </t>
        </is>
      </c>
      <c r="B8621">
        <f>VLOOKUP(2358,Requirements!A2:B2967,2,FALSE)</f>
        <v/>
      </c>
    </row>
    <row r="8622">
      <c r="A8622" t="inlineStr">
        <is>
          <t xml:space="preserve">sense </t>
        </is>
      </c>
      <c r="B8622">
        <f>VLOOKUP(2550,Requirements!A2:B2967,2,FALSE)</f>
        <v/>
      </c>
    </row>
    <row r="8623">
      <c r="A8623" t="inlineStr">
        <is>
          <t xml:space="preserve">sense </t>
        </is>
      </c>
      <c r="B8623">
        <f>VLOOKUP(2601,Requirements!A2:B2967,2,FALSE)</f>
        <v/>
      </c>
    </row>
    <row r="8624">
      <c r="A8624" t="inlineStr">
        <is>
          <t xml:space="preserve">sense </t>
        </is>
      </c>
      <c r="B8624">
        <f>VLOOKUP(2782,Requirements!A2:B2967,2,FALSE)</f>
        <v/>
      </c>
    </row>
    <row r="8625">
      <c r="A8625" t="inlineStr">
        <is>
          <t xml:space="preserve">sense </t>
        </is>
      </c>
      <c r="B8625">
        <f>VLOOKUP(2944,Requirements!A2:B2967,2,FALSE)</f>
        <v/>
      </c>
    </row>
    <row r="8626">
      <c r="A8626" t="inlineStr">
        <is>
          <t xml:space="preserve">sense </t>
        </is>
      </c>
      <c r="B8626">
        <f>VLOOKUP(3014,Requirements!A2:B2967,2,FALSE)</f>
        <v/>
      </c>
    </row>
    <row r="8627">
      <c r="A8627" t="inlineStr">
        <is>
          <t xml:space="preserve">sense </t>
        </is>
      </c>
      <c r="B8627">
        <f>VLOOKUP(3127,Requirements!A2:B2967,2,FALSE)</f>
        <v/>
      </c>
    </row>
    <row r="8628">
      <c r="A8628" t="inlineStr">
        <is>
          <t xml:space="preserve">sense </t>
        </is>
      </c>
      <c r="B8628">
        <f>VLOOKUP(3227,Requirements!A2:B2967,2,FALSE)</f>
        <v/>
      </c>
    </row>
    <row r="8629">
      <c r="A8629" t="inlineStr">
        <is>
          <t xml:space="preserve">sense </t>
        </is>
      </c>
      <c r="B8629">
        <f>VLOOKUP(3232,Requirements!A2:B2967,2,FALSE)</f>
        <v/>
      </c>
    </row>
    <row r="8630">
      <c r="A8630" t="inlineStr">
        <is>
          <t xml:space="preserve">sense </t>
        </is>
      </c>
      <c r="B8630">
        <f>VLOOKUP(3243,Requirements!A2:B2967,2,FALSE)</f>
        <v/>
      </c>
    </row>
    <row r="8631">
      <c r="A8631" t="inlineStr">
        <is>
          <t xml:space="preserve">sense </t>
        </is>
      </c>
      <c r="B8631">
        <f>VLOOKUP(3244,Requirements!A2:B2967,2,FALSE)</f>
        <v/>
      </c>
    </row>
    <row r="8632">
      <c r="A8632" t="inlineStr">
        <is>
          <t xml:space="preserve">sense </t>
        </is>
      </c>
      <c r="B8632">
        <f>VLOOKUP(3247,Requirements!A2:B2967,2,FALSE)</f>
        <v/>
      </c>
    </row>
    <row r="8633">
      <c r="A8633" t="inlineStr">
        <is>
          <t xml:space="preserve">sense </t>
        </is>
      </c>
      <c r="B8633">
        <f>VLOOKUP(3248,Requirements!A2:B2967,2,FALSE)</f>
        <v/>
      </c>
    </row>
    <row r="8634">
      <c r="A8634" t="inlineStr">
        <is>
          <t xml:space="preserve">sense </t>
        </is>
      </c>
      <c r="B8634">
        <f>VLOOKUP(3249,Requirements!A2:B2967,2,FALSE)</f>
        <v/>
      </c>
    </row>
    <row r="8635">
      <c r="A8635" t="inlineStr">
        <is>
          <t xml:space="preserve">sense </t>
        </is>
      </c>
      <c r="B8635">
        <f>VLOOKUP(3252,Requirements!A2:B2967,2,FALSE)</f>
        <v/>
      </c>
    </row>
    <row r="8636">
      <c r="A8636" t="inlineStr">
        <is>
          <t xml:space="preserve">small </t>
        </is>
      </c>
      <c r="B8636">
        <f>VLOOKUP(184,Requirements!A2:B2967,2,FALSE)</f>
        <v/>
      </c>
    </row>
    <row r="8637">
      <c r="A8637" t="inlineStr">
        <is>
          <t xml:space="preserve">small </t>
        </is>
      </c>
      <c r="B8637">
        <f>VLOOKUP(378,Requirements!A2:B2967,2,FALSE)</f>
        <v/>
      </c>
    </row>
    <row r="8638">
      <c r="A8638" t="inlineStr">
        <is>
          <t xml:space="preserve">small </t>
        </is>
      </c>
      <c r="B8638">
        <f>VLOOKUP(585,Requirements!A2:B2967,2,FALSE)</f>
        <v/>
      </c>
    </row>
    <row r="8639">
      <c r="A8639" t="inlineStr">
        <is>
          <t xml:space="preserve">small </t>
        </is>
      </c>
      <c r="B8639">
        <f>VLOOKUP(775,Requirements!A2:B2967,2,FALSE)</f>
        <v/>
      </c>
    </row>
    <row r="8640">
      <c r="A8640" t="inlineStr">
        <is>
          <t xml:space="preserve">small </t>
        </is>
      </c>
      <c r="B8640">
        <f>VLOOKUP(1273,Requirements!A2:B2967,2,FALSE)</f>
        <v/>
      </c>
    </row>
    <row r="8641">
      <c r="A8641" t="inlineStr">
        <is>
          <t xml:space="preserve">small </t>
        </is>
      </c>
      <c r="B8641">
        <f>VLOOKUP(2077,Requirements!A2:B2967,2,FALSE)</f>
        <v/>
      </c>
    </row>
    <row r="8642">
      <c r="A8642" t="inlineStr">
        <is>
          <t xml:space="preserve">small </t>
        </is>
      </c>
      <c r="B8642">
        <f>VLOOKUP(2237,Requirements!A2:B2967,2,FALSE)</f>
        <v/>
      </c>
    </row>
    <row r="8643">
      <c r="A8643" t="inlineStr">
        <is>
          <t xml:space="preserve">small </t>
        </is>
      </c>
      <c r="B8643">
        <f>VLOOKUP(2877,Requirements!A2:B2967,2,FALSE)</f>
        <v/>
      </c>
    </row>
    <row r="8644">
      <c r="A8644" t="inlineStr">
        <is>
          <t xml:space="preserve">small </t>
        </is>
      </c>
      <c r="B8644">
        <f>VLOOKUP(2919,Requirements!A2:B2967,2,FALSE)</f>
        <v/>
      </c>
    </row>
    <row r="8645">
      <c r="A8645" t="inlineStr">
        <is>
          <t xml:space="preserve">small </t>
        </is>
      </c>
      <c r="B8645">
        <f>VLOOKUP(3252,Requirements!A2:B2967,2,FALSE)</f>
        <v/>
      </c>
    </row>
    <row r="8646">
      <c r="A8646" t="inlineStr">
        <is>
          <t xml:space="preserve">package </t>
        </is>
      </c>
      <c r="B8646">
        <f>VLOOKUP(186,Requirements!A2:B2967,2,FALSE)</f>
        <v/>
      </c>
    </row>
    <row r="8647">
      <c r="A8647" t="inlineStr">
        <is>
          <t xml:space="preserve">package </t>
        </is>
      </c>
      <c r="B8647">
        <f>VLOOKUP(540,Requirements!A2:B2967,2,FALSE)</f>
        <v/>
      </c>
    </row>
    <row r="8648">
      <c r="A8648" t="inlineStr">
        <is>
          <t xml:space="preserve">package </t>
        </is>
      </c>
      <c r="B8648">
        <f>VLOOKUP(576,Requirements!A2:B2967,2,FALSE)</f>
        <v/>
      </c>
    </row>
    <row r="8649">
      <c r="A8649" t="inlineStr">
        <is>
          <t xml:space="preserve">package </t>
        </is>
      </c>
      <c r="B8649">
        <f>VLOOKUP(702,Requirements!A2:B2967,2,FALSE)</f>
        <v/>
      </c>
    </row>
    <row r="8650">
      <c r="A8650" t="inlineStr">
        <is>
          <t xml:space="preserve">package </t>
        </is>
      </c>
      <c r="B8650">
        <f>VLOOKUP(840,Requirements!A2:B2967,2,FALSE)</f>
        <v/>
      </c>
    </row>
    <row r="8651">
      <c r="A8651" t="inlineStr">
        <is>
          <t xml:space="preserve">package </t>
        </is>
      </c>
      <c r="B8651">
        <f>VLOOKUP(937,Requirements!A2:B2967,2,FALSE)</f>
        <v/>
      </c>
    </row>
    <row r="8652">
      <c r="A8652" t="inlineStr">
        <is>
          <t xml:space="preserve">package </t>
        </is>
      </c>
      <c r="B8652">
        <f>VLOOKUP(1362,Requirements!A2:B2967,2,FALSE)</f>
        <v/>
      </c>
    </row>
    <row r="8653">
      <c r="A8653" t="inlineStr">
        <is>
          <t xml:space="preserve">package </t>
        </is>
      </c>
      <c r="B8653">
        <f>VLOOKUP(1395,Requirements!A2:B2967,2,FALSE)</f>
        <v/>
      </c>
    </row>
    <row r="8654">
      <c r="A8654" t="inlineStr">
        <is>
          <t xml:space="preserve">package </t>
        </is>
      </c>
      <c r="B8654">
        <f>VLOOKUP(1943,Requirements!A2:B2967,2,FALSE)</f>
        <v/>
      </c>
    </row>
    <row r="8655">
      <c r="A8655" t="inlineStr">
        <is>
          <t xml:space="preserve">package </t>
        </is>
      </c>
      <c r="B8655">
        <f>VLOOKUP(1967,Requirements!A2:B2967,2,FALSE)</f>
        <v/>
      </c>
    </row>
    <row r="8656">
      <c r="A8656" t="inlineStr">
        <is>
          <t xml:space="preserve">package </t>
        </is>
      </c>
      <c r="B8656">
        <f>VLOOKUP(2064,Requirements!A2:B2967,2,FALSE)</f>
        <v/>
      </c>
    </row>
    <row r="8657">
      <c r="A8657" t="inlineStr">
        <is>
          <t xml:space="preserve">package </t>
        </is>
      </c>
      <c r="B8657">
        <f>VLOOKUP(2088,Requirements!A2:B2967,2,FALSE)</f>
        <v/>
      </c>
    </row>
    <row r="8658">
      <c r="A8658" t="inlineStr">
        <is>
          <t xml:space="preserve">package </t>
        </is>
      </c>
      <c r="B8658">
        <f>VLOOKUP(2663,Requirements!A2:B2967,2,FALSE)</f>
        <v/>
      </c>
    </row>
    <row r="8659">
      <c r="A8659" t="inlineStr">
        <is>
          <t xml:space="preserve">wife </t>
        </is>
      </c>
      <c r="B8659">
        <f>VLOOKUP(200,Requirements!A2:B2967,2,FALSE)</f>
        <v/>
      </c>
    </row>
    <row r="8660">
      <c r="A8660" t="inlineStr">
        <is>
          <t xml:space="preserve">wife </t>
        </is>
      </c>
      <c r="B8660">
        <f>VLOOKUP(317,Requirements!A2:B2967,2,FALSE)</f>
        <v/>
      </c>
    </row>
    <row r="8661">
      <c r="A8661" t="inlineStr">
        <is>
          <t xml:space="preserve">wife </t>
        </is>
      </c>
      <c r="B8661">
        <f>VLOOKUP(684,Requirements!A2:B2967,2,FALSE)</f>
        <v/>
      </c>
    </row>
    <row r="8662">
      <c r="A8662" t="inlineStr">
        <is>
          <t xml:space="preserve">wife </t>
        </is>
      </c>
      <c r="B8662">
        <f>VLOOKUP(688,Requirements!A2:B2967,2,FALSE)</f>
        <v/>
      </c>
    </row>
    <row r="8663">
      <c r="A8663" t="inlineStr">
        <is>
          <t xml:space="preserve">wife </t>
        </is>
      </c>
      <c r="B8663">
        <f>VLOOKUP(785,Requirements!A2:B2967,2,FALSE)</f>
        <v/>
      </c>
    </row>
    <row r="8664">
      <c r="A8664" t="inlineStr">
        <is>
          <t xml:space="preserve">wife </t>
        </is>
      </c>
      <c r="B8664">
        <f>VLOOKUP(1059,Requirements!A2:B2967,2,FALSE)</f>
        <v/>
      </c>
    </row>
    <row r="8665">
      <c r="A8665" t="inlineStr">
        <is>
          <t xml:space="preserve">wife </t>
        </is>
      </c>
      <c r="B8665">
        <f>VLOOKUP(1413,Requirements!A2:B2967,2,FALSE)</f>
        <v/>
      </c>
    </row>
    <row r="8666">
      <c r="A8666" t="inlineStr">
        <is>
          <t xml:space="preserve">wife </t>
        </is>
      </c>
      <c r="B8666">
        <f>VLOOKUP(1542,Requirements!A2:B2967,2,FALSE)</f>
        <v/>
      </c>
    </row>
    <row r="8667">
      <c r="A8667" t="inlineStr">
        <is>
          <t xml:space="preserve">wife </t>
        </is>
      </c>
      <c r="B8667">
        <f>VLOOKUP(1631,Requirements!A2:B2967,2,FALSE)</f>
        <v/>
      </c>
    </row>
    <row r="8668">
      <c r="A8668" t="inlineStr">
        <is>
          <t xml:space="preserve">wife </t>
        </is>
      </c>
      <c r="B8668">
        <f>VLOOKUP(1634,Requirements!A2:B2967,2,FALSE)</f>
        <v/>
      </c>
    </row>
    <row r="8669">
      <c r="A8669" t="inlineStr">
        <is>
          <t xml:space="preserve">wife </t>
        </is>
      </c>
      <c r="B8669">
        <f>VLOOKUP(2143,Requirements!A2:B2967,2,FALSE)</f>
        <v/>
      </c>
    </row>
    <row r="8670">
      <c r="A8670" t="inlineStr">
        <is>
          <t xml:space="preserve">wife </t>
        </is>
      </c>
      <c r="B8670">
        <f>VLOOKUP(2325,Requirements!A2:B2967,2,FALSE)</f>
        <v/>
      </c>
    </row>
    <row r="8671">
      <c r="A8671" t="inlineStr">
        <is>
          <t xml:space="preserve">wife </t>
        </is>
      </c>
      <c r="B8671">
        <f>VLOOKUP(2406,Requirements!A2:B2967,2,FALSE)</f>
        <v/>
      </c>
    </row>
    <row r="8672">
      <c r="A8672" t="inlineStr">
        <is>
          <t xml:space="preserve">wife </t>
        </is>
      </c>
      <c r="B8672">
        <f>VLOOKUP(2463,Requirements!A2:B2967,2,FALSE)</f>
        <v/>
      </c>
    </row>
    <row r="8673">
      <c r="A8673" t="inlineStr">
        <is>
          <t xml:space="preserve">wife </t>
        </is>
      </c>
      <c r="B8673">
        <f>VLOOKUP(2896,Requirements!A2:B2967,2,FALSE)</f>
        <v/>
      </c>
    </row>
    <row r="8674">
      <c r="A8674" t="inlineStr">
        <is>
          <t xml:space="preserve">wife </t>
        </is>
      </c>
      <c r="B8674">
        <f>VLOOKUP(2904,Requirements!A2:B2967,2,FALSE)</f>
        <v/>
      </c>
    </row>
    <row r="8675">
      <c r="A8675" t="inlineStr">
        <is>
          <t xml:space="preserve">wife </t>
        </is>
      </c>
      <c r="B8675">
        <f>VLOOKUP(3016,Requirements!A2:B2967,2,FALSE)</f>
        <v/>
      </c>
    </row>
    <row r="8676">
      <c r="A8676" t="inlineStr">
        <is>
          <t xml:space="preserve">wife </t>
        </is>
      </c>
      <c r="B8676">
        <f>VLOOKUP(3070,Requirements!A2:B2967,2,FALSE)</f>
        <v/>
      </c>
    </row>
    <row r="8677">
      <c r="A8677" t="inlineStr">
        <is>
          <t xml:space="preserve">help </t>
        </is>
      </c>
      <c r="B8677">
        <f>VLOOKUP(200,Requirements!A2:B2967,2,FALSE)</f>
        <v/>
      </c>
    </row>
    <row r="8678">
      <c r="A8678" t="inlineStr">
        <is>
          <t xml:space="preserve">help </t>
        </is>
      </c>
      <c r="B8678">
        <f>VLOOKUP(223,Requirements!A2:B2967,2,FALSE)</f>
        <v/>
      </c>
    </row>
    <row r="8679">
      <c r="A8679" t="inlineStr">
        <is>
          <t xml:space="preserve">help </t>
        </is>
      </c>
      <c r="B8679">
        <f>VLOOKUP(237,Requirements!A2:B2967,2,FALSE)</f>
        <v/>
      </c>
    </row>
    <row r="8680">
      <c r="A8680" t="inlineStr">
        <is>
          <t xml:space="preserve">help </t>
        </is>
      </c>
      <c r="B8680">
        <f>VLOOKUP(290,Requirements!A2:B2967,2,FALSE)</f>
        <v/>
      </c>
    </row>
    <row r="8681">
      <c r="A8681" t="inlineStr">
        <is>
          <t xml:space="preserve">help </t>
        </is>
      </c>
      <c r="B8681">
        <f>VLOOKUP(826,Requirements!A2:B2967,2,FALSE)</f>
        <v/>
      </c>
    </row>
    <row r="8682">
      <c r="A8682" t="inlineStr">
        <is>
          <t xml:space="preserve">help </t>
        </is>
      </c>
      <c r="B8682">
        <f>VLOOKUP(846,Requirements!A2:B2967,2,FALSE)</f>
        <v/>
      </c>
    </row>
    <row r="8683">
      <c r="A8683" t="inlineStr">
        <is>
          <t xml:space="preserve">help </t>
        </is>
      </c>
      <c r="B8683">
        <f>VLOOKUP(861,Requirements!A2:B2967,2,FALSE)</f>
        <v/>
      </c>
    </row>
    <row r="8684">
      <c r="A8684" t="inlineStr">
        <is>
          <t xml:space="preserve">help </t>
        </is>
      </c>
      <c r="B8684">
        <f>VLOOKUP(866,Requirements!A2:B2967,2,FALSE)</f>
        <v/>
      </c>
    </row>
    <row r="8685">
      <c r="A8685" t="inlineStr">
        <is>
          <t xml:space="preserve">help </t>
        </is>
      </c>
      <c r="B8685">
        <f>VLOOKUP(880,Requirements!A2:B2967,2,FALSE)</f>
        <v/>
      </c>
    </row>
    <row r="8686">
      <c r="A8686" t="inlineStr">
        <is>
          <t xml:space="preserve">help </t>
        </is>
      </c>
      <c r="B8686">
        <f>VLOOKUP(899,Requirements!A2:B2967,2,FALSE)</f>
        <v/>
      </c>
    </row>
    <row r="8687">
      <c r="A8687" t="inlineStr">
        <is>
          <t xml:space="preserve">help </t>
        </is>
      </c>
      <c r="B8687">
        <f>VLOOKUP(1242,Requirements!A2:B2967,2,FALSE)</f>
        <v/>
      </c>
    </row>
    <row r="8688">
      <c r="A8688" t="inlineStr">
        <is>
          <t xml:space="preserve">help </t>
        </is>
      </c>
      <c r="B8688">
        <f>VLOOKUP(1640,Requirements!A2:B2967,2,FALSE)</f>
        <v/>
      </c>
    </row>
    <row r="8689">
      <c r="A8689" t="inlineStr">
        <is>
          <t xml:space="preserve">help </t>
        </is>
      </c>
      <c r="B8689">
        <f>VLOOKUP(2080,Requirements!A2:B2967,2,FALSE)</f>
        <v/>
      </c>
    </row>
    <row r="8690">
      <c r="A8690" t="inlineStr">
        <is>
          <t xml:space="preserve">help </t>
        </is>
      </c>
      <c r="B8690">
        <f>VLOOKUP(2366,Requirements!A2:B2967,2,FALSE)</f>
        <v/>
      </c>
    </row>
    <row r="8691">
      <c r="A8691" t="inlineStr">
        <is>
          <t xml:space="preserve">smoke </t>
        </is>
      </c>
      <c r="B8691">
        <f>VLOOKUP(200,Requirements!A2:B2967,2,FALSE)</f>
        <v/>
      </c>
    </row>
    <row r="8692">
      <c r="A8692" t="inlineStr">
        <is>
          <t xml:space="preserve">smoke </t>
        </is>
      </c>
      <c r="B8692">
        <f>VLOOKUP(227,Requirements!A2:B2967,2,FALSE)</f>
        <v/>
      </c>
    </row>
    <row r="8693">
      <c r="A8693" t="inlineStr">
        <is>
          <t xml:space="preserve">smoke </t>
        </is>
      </c>
      <c r="B8693">
        <f>VLOOKUP(327,Requirements!A2:B2967,2,FALSE)</f>
        <v/>
      </c>
    </row>
    <row r="8694">
      <c r="A8694" t="inlineStr">
        <is>
          <t xml:space="preserve">smoke </t>
        </is>
      </c>
      <c r="B8694">
        <f>VLOOKUP(338,Requirements!A2:B2967,2,FALSE)</f>
        <v/>
      </c>
    </row>
    <row r="8695">
      <c r="A8695" t="inlineStr">
        <is>
          <t xml:space="preserve">smoke </t>
        </is>
      </c>
      <c r="B8695">
        <f>VLOOKUP(416,Requirements!A2:B2967,2,FALSE)</f>
        <v/>
      </c>
    </row>
    <row r="8696">
      <c r="A8696" t="inlineStr">
        <is>
          <t xml:space="preserve">smoke </t>
        </is>
      </c>
      <c r="B8696">
        <f>VLOOKUP(457,Requirements!A2:B2967,2,FALSE)</f>
        <v/>
      </c>
    </row>
    <row r="8697">
      <c r="A8697" t="inlineStr">
        <is>
          <t xml:space="preserve">smoke </t>
        </is>
      </c>
      <c r="B8697">
        <f>VLOOKUP(506,Requirements!A2:B2967,2,FALSE)</f>
        <v/>
      </c>
    </row>
    <row r="8698">
      <c r="A8698" t="inlineStr">
        <is>
          <t xml:space="preserve">smoke </t>
        </is>
      </c>
      <c r="B8698">
        <f>VLOOKUP(554,Requirements!A2:B2967,2,FALSE)</f>
        <v/>
      </c>
    </row>
    <row r="8699">
      <c r="A8699" t="inlineStr">
        <is>
          <t xml:space="preserve">smoke </t>
        </is>
      </c>
      <c r="B8699">
        <f>VLOOKUP(620,Requirements!A2:B2967,2,FALSE)</f>
        <v/>
      </c>
    </row>
    <row r="8700">
      <c r="A8700" t="inlineStr">
        <is>
          <t xml:space="preserve">smoke </t>
        </is>
      </c>
      <c r="B8700">
        <f>VLOOKUP(661,Requirements!A2:B2967,2,FALSE)</f>
        <v/>
      </c>
    </row>
    <row r="8701">
      <c r="A8701" t="inlineStr">
        <is>
          <t xml:space="preserve">smoke </t>
        </is>
      </c>
      <c r="B8701">
        <f>VLOOKUP(683,Requirements!A2:B2967,2,FALSE)</f>
        <v/>
      </c>
    </row>
    <row r="8702">
      <c r="A8702" t="inlineStr">
        <is>
          <t xml:space="preserve">smoke </t>
        </is>
      </c>
      <c r="B8702">
        <f>VLOOKUP(996,Requirements!A2:B2967,2,FALSE)</f>
        <v/>
      </c>
    </row>
    <row r="8703">
      <c r="A8703" t="inlineStr">
        <is>
          <t xml:space="preserve">smoke </t>
        </is>
      </c>
      <c r="B8703">
        <f>VLOOKUP(1046,Requirements!A2:B2967,2,FALSE)</f>
        <v/>
      </c>
    </row>
    <row r="8704">
      <c r="A8704" t="inlineStr">
        <is>
          <t xml:space="preserve">smoke </t>
        </is>
      </c>
      <c r="B8704">
        <f>VLOOKUP(1058,Requirements!A2:B2967,2,FALSE)</f>
        <v/>
      </c>
    </row>
    <row r="8705">
      <c r="A8705" t="inlineStr">
        <is>
          <t xml:space="preserve">smoke </t>
        </is>
      </c>
      <c r="B8705">
        <f>VLOOKUP(1097,Requirements!A2:B2967,2,FALSE)</f>
        <v/>
      </c>
    </row>
    <row r="8706">
      <c r="A8706" t="inlineStr">
        <is>
          <t xml:space="preserve">smoke </t>
        </is>
      </c>
      <c r="B8706">
        <f>VLOOKUP(1334,Requirements!A2:B2967,2,FALSE)</f>
        <v/>
      </c>
    </row>
    <row r="8707">
      <c r="A8707" t="inlineStr">
        <is>
          <t xml:space="preserve">smoke </t>
        </is>
      </c>
      <c r="B8707">
        <f>VLOOKUP(1393,Requirements!A2:B2967,2,FALSE)</f>
        <v/>
      </c>
    </row>
    <row r="8708">
      <c r="A8708" t="inlineStr">
        <is>
          <t xml:space="preserve">smoke </t>
        </is>
      </c>
      <c r="B8708">
        <f>VLOOKUP(1541,Requirements!A2:B2967,2,FALSE)</f>
        <v/>
      </c>
    </row>
    <row r="8709">
      <c r="A8709" t="inlineStr">
        <is>
          <t xml:space="preserve">smoke </t>
        </is>
      </c>
      <c r="B8709">
        <f>VLOOKUP(1545,Requirements!A2:B2967,2,FALSE)</f>
        <v/>
      </c>
    </row>
    <row r="8710">
      <c r="A8710" t="inlineStr">
        <is>
          <t xml:space="preserve">smoke </t>
        </is>
      </c>
      <c r="B8710">
        <f>VLOOKUP(1810,Requirements!A2:B2967,2,FALSE)</f>
        <v/>
      </c>
    </row>
    <row r="8711">
      <c r="A8711" t="inlineStr">
        <is>
          <t xml:space="preserve">smoke </t>
        </is>
      </c>
      <c r="B8711">
        <f>VLOOKUP(2083,Requirements!A2:B2967,2,FALSE)</f>
        <v/>
      </c>
    </row>
    <row r="8712">
      <c r="A8712" t="inlineStr">
        <is>
          <t xml:space="preserve">smoke </t>
        </is>
      </c>
      <c r="B8712">
        <f>VLOOKUP(2111,Requirements!A2:B2967,2,FALSE)</f>
        <v/>
      </c>
    </row>
    <row r="8713">
      <c r="A8713" t="inlineStr">
        <is>
          <t xml:space="preserve">smoke </t>
        </is>
      </c>
      <c r="B8713">
        <f>VLOOKUP(2116,Requirements!A2:B2967,2,FALSE)</f>
        <v/>
      </c>
    </row>
    <row r="8714">
      <c r="A8714" t="inlineStr">
        <is>
          <t xml:space="preserve">smoke </t>
        </is>
      </c>
      <c r="B8714">
        <f>VLOOKUP(2130,Requirements!A2:B2967,2,FALSE)</f>
        <v/>
      </c>
    </row>
    <row r="8715">
      <c r="A8715" t="inlineStr">
        <is>
          <t xml:space="preserve">smoke </t>
        </is>
      </c>
      <c r="B8715">
        <f>VLOOKUP(2269,Requirements!A2:B2967,2,FALSE)</f>
        <v/>
      </c>
    </row>
    <row r="8716">
      <c r="A8716" t="inlineStr">
        <is>
          <t xml:space="preserve">smoke </t>
        </is>
      </c>
      <c r="B8716">
        <f>VLOOKUP(2297,Requirements!A2:B2967,2,FALSE)</f>
        <v/>
      </c>
    </row>
    <row r="8717">
      <c r="A8717" t="inlineStr">
        <is>
          <t xml:space="preserve">smoke </t>
        </is>
      </c>
      <c r="B8717">
        <f>VLOOKUP(2581,Requirements!A2:B2967,2,FALSE)</f>
        <v/>
      </c>
    </row>
    <row r="8718">
      <c r="A8718" t="inlineStr">
        <is>
          <t xml:space="preserve">smoke </t>
        </is>
      </c>
      <c r="B8718">
        <f>VLOOKUP(2641,Requirements!A2:B2967,2,FALSE)</f>
        <v/>
      </c>
    </row>
    <row r="8719">
      <c r="A8719" t="inlineStr">
        <is>
          <t xml:space="preserve">smoke </t>
        </is>
      </c>
      <c r="B8719">
        <f>VLOOKUP(2666,Requirements!A2:B2967,2,FALSE)</f>
        <v/>
      </c>
    </row>
    <row r="8720">
      <c r="A8720" t="inlineStr">
        <is>
          <t xml:space="preserve">smoke </t>
        </is>
      </c>
      <c r="B8720">
        <f>VLOOKUP(2991,Requirements!A2:B2967,2,FALSE)</f>
        <v/>
      </c>
    </row>
    <row r="8721">
      <c r="A8721" t="inlineStr">
        <is>
          <t xml:space="preserve">smoke </t>
        </is>
      </c>
      <c r="B8721">
        <f>VLOOKUP(3038,Requirements!A2:B2967,2,FALSE)</f>
        <v/>
      </c>
    </row>
    <row r="8722">
      <c r="A8722" t="inlineStr">
        <is>
          <t xml:space="preserve">smoke </t>
        </is>
      </c>
      <c r="B8722">
        <f>VLOOKUP(3267,Requirements!A2:B2967,2,FALSE)</f>
        <v/>
      </c>
    </row>
    <row r="8723">
      <c r="A8723" t="inlineStr">
        <is>
          <t xml:space="preserve">front </t>
        </is>
      </c>
      <c r="B8723">
        <f>VLOOKUP(201,Requirements!A2:B2967,2,FALSE)</f>
        <v/>
      </c>
    </row>
    <row r="8724">
      <c r="A8724" t="inlineStr">
        <is>
          <t xml:space="preserve">front </t>
        </is>
      </c>
      <c r="B8724">
        <f>VLOOKUP(250,Requirements!A2:B2967,2,FALSE)</f>
        <v/>
      </c>
    </row>
    <row r="8725">
      <c r="A8725" t="inlineStr">
        <is>
          <t xml:space="preserve">front </t>
        </is>
      </c>
      <c r="B8725">
        <f>VLOOKUP(331,Requirements!A2:B2967,2,FALSE)</f>
        <v/>
      </c>
    </row>
    <row r="8726">
      <c r="A8726" t="inlineStr">
        <is>
          <t xml:space="preserve">front </t>
        </is>
      </c>
      <c r="B8726">
        <f>VLOOKUP(361,Requirements!A2:B2967,2,FALSE)</f>
        <v/>
      </c>
    </row>
    <row r="8727">
      <c r="A8727" t="inlineStr">
        <is>
          <t xml:space="preserve">front </t>
        </is>
      </c>
      <c r="B8727">
        <f>VLOOKUP(365,Requirements!A2:B2967,2,FALSE)</f>
        <v/>
      </c>
    </row>
    <row r="8728">
      <c r="A8728" t="inlineStr">
        <is>
          <t xml:space="preserve">front </t>
        </is>
      </c>
      <c r="B8728">
        <f>VLOOKUP(534,Requirements!A2:B2967,2,FALSE)</f>
        <v/>
      </c>
    </row>
    <row r="8729">
      <c r="A8729" t="inlineStr">
        <is>
          <t xml:space="preserve">front </t>
        </is>
      </c>
      <c r="B8729">
        <f>VLOOKUP(667,Requirements!A2:B2967,2,FALSE)</f>
        <v/>
      </c>
    </row>
    <row r="8730">
      <c r="A8730" t="inlineStr">
        <is>
          <t xml:space="preserve">front </t>
        </is>
      </c>
      <c r="B8730">
        <f>VLOOKUP(702,Requirements!A2:B2967,2,FALSE)</f>
        <v/>
      </c>
    </row>
    <row r="8731">
      <c r="A8731" t="inlineStr">
        <is>
          <t xml:space="preserve">front </t>
        </is>
      </c>
      <c r="B8731">
        <f>VLOOKUP(1424,Requirements!A2:B2967,2,FALSE)</f>
        <v/>
      </c>
    </row>
    <row r="8732">
      <c r="A8732" t="inlineStr">
        <is>
          <t xml:space="preserve">front </t>
        </is>
      </c>
      <c r="B8732">
        <f>VLOOKUP(1516,Requirements!A2:B2967,2,FALSE)</f>
        <v/>
      </c>
    </row>
    <row r="8733">
      <c r="A8733" t="inlineStr">
        <is>
          <t xml:space="preserve">front </t>
        </is>
      </c>
      <c r="B8733">
        <f>VLOOKUP(1753,Requirements!A2:B2967,2,FALSE)</f>
        <v/>
      </c>
    </row>
    <row r="8734">
      <c r="A8734" t="inlineStr">
        <is>
          <t xml:space="preserve">front </t>
        </is>
      </c>
      <c r="B8734">
        <f>VLOOKUP(2385,Requirements!A2:B2967,2,FALSE)</f>
        <v/>
      </c>
    </row>
    <row r="8735">
      <c r="A8735" t="inlineStr">
        <is>
          <t xml:space="preserve">front </t>
        </is>
      </c>
      <c r="B8735">
        <f>VLOOKUP(2436,Requirements!A2:B2967,2,FALSE)</f>
        <v/>
      </c>
    </row>
    <row r="8736">
      <c r="A8736" t="inlineStr">
        <is>
          <t xml:space="preserve">front </t>
        </is>
      </c>
      <c r="B8736">
        <f>VLOOKUP(2796,Requirements!A2:B2967,2,FALSE)</f>
        <v/>
      </c>
    </row>
    <row r="8737">
      <c r="A8737" t="inlineStr">
        <is>
          <t xml:space="preserve">front </t>
        </is>
      </c>
      <c r="B8737">
        <f>VLOOKUP(3055,Requirements!A2:B2967,2,FALSE)</f>
        <v/>
      </c>
    </row>
    <row r="8738">
      <c r="A8738" t="inlineStr">
        <is>
          <t xml:space="preserve">front </t>
        </is>
      </c>
      <c r="B8738">
        <f>VLOOKUP(3101,Requirements!A2:B2967,2,FALSE)</f>
        <v/>
      </c>
    </row>
    <row r="8739">
      <c r="A8739" t="inlineStr">
        <is>
          <t xml:space="preserve">approach </t>
        </is>
      </c>
      <c r="B8739">
        <f>VLOOKUP(201,Requirements!A2:B2967,2,FALSE)</f>
        <v/>
      </c>
    </row>
    <row r="8740">
      <c r="A8740" t="inlineStr">
        <is>
          <t xml:space="preserve">approach </t>
        </is>
      </c>
      <c r="B8740">
        <f>VLOOKUP(202,Requirements!A2:B2967,2,FALSE)</f>
        <v/>
      </c>
    </row>
    <row r="8741">
      <c r="A8741" t="inlineStr">
        <is>
          <t xml:space="preserve">approach </t>
        </is>
      </c>
      <c r="B8741">
        <f>VLOOKUP(431,Requirements!A2:B2967,2,FALSE)</f>
        <v/>
      </c>
    </row>
    <row r="8742">
      <c r="A8742" t="inlineStr">
        <is>
          <t xml:space="preserve">approach </t>
        </is>
      </c>
      <c r="B8742">
        <f>VLOOKUP(1087,Requirements!A2:B2967,2,FALSE)</f>
        <v/>
      </c>
    </row>
    <row r="8743">
      <c r="A8743" t="inlineStr">
        <is>
          <t xml:space="preserve">approach </t>
        </is>
      </c>
      <c r="B8743">
        <f>VLOOKUP(1455,Requirements!A2:B2967,2,FALSE)</f>
        <v/>
      </c>
    </row>
    <row r="8744">
      <c r="A8744" t="inlineStr">
        <is>
          <t xml:space="preserve">approach </t>
        </is>
      </c>
      <c r="B8744">
        <f>VLOOKUP(2004,Requirements!A2:B2967,2,FALSE)</f>
        <v/>
      </c>
    </row>
    <row r="8745">
      <c r="A8745" t="inlineStr">
        <is>
          <t xml:space="preserve">message </t>
        </is>
      </c>
      <c r="B8745">
        <f>VLOOKUP(202,Requirements!A2:B2967,2,FALSE)</f>
        <v/>
      </c>
    </row>
    <row r="8746">
      <c r="A8746" t="inlineStr">
        <is>
          <t xml:space="preserve">message </t>
        </is>
      </c>
      <c r="B8746">
        <f>VLOOKUP(1435,Requirements!A2:B2967,2,FALSE)</f>
        <v/>
      </c>
    </row>
    <row r="8747">
      <c r="A8747" t="inlineStr">
        <is>
          <t xml:space="preserve">message </t>
        </is>
      </c>
      <c r="B8747">
        <f>VLOOKUP(1567,Requirements!A2:B2967,2,FALSE)</f>
        <v/>
      </c>
    </row>
    <row r="8748">
      <c r="A8748" t="inlineStr">
        <is>
          <t xml:space="preserve">message </t>
        </is>
      </c>
      <c r="B8748">
        <f>VLOOKUP(1693,Requirements!A2:B2967,2,FALSE)</f>
        <v/>
      </c>
    </row>
    <row r="8749">
      <c r="A8749" t="inlineStr">
        <is>
          <t xml:space="preserve">message </t>
        </is>
      </c>
      <c r="B8749">
        <f>VLOOKUP(1694,Requirements!A2:B2967,2,FALSE)</f>
        <v/>
      </c>
    </row>
    <row r="8750">
      <c r="A8750" t="inlineStr">
        <is>
          <t xml:space="preserve">message </t>
        </is>
      </c>
      <c r="B8750">
        <f>VLOOKUP(2130,Requirements!A2:B2967,2,FALSE)</f>
        <v/>
      </c>
    </row>
    <row r="8751">
      <c r="A8751" t="inlineStr">
        <is>
          <t xml:space="preserve">station </t>
        </is>
      </c>
      <c r="B8751">
        <f>VLOOKUP(206,Requirements!A2:B2967,2,FALSE)</f>
        <v/>
      </c>
    </row>
    <row r="8752">
      <c r="A8752" t="inlineStr">
        <is>
          <t xml:space="preserve">station </t>
        </is>
      </c>
      <c r="B8752">
        <f>VLOOKUP(2497,Requirements!A2:B2967,2,FALSE)</f>
        <v/>
      </c>
    </row>
    <row r="8753">
      <c r="A8753" t="inlineStr">
        <is>
          <t xml:space="preserve">station </t>
        </is>
      </c>
      <c r="B8753">
        <f>VLOOKUP(2634,Requirements!A2:B2967,2,FALSE)</f>
        <v/>
      </c>
    </row>
    <row r="8754">
      <c r="A8754" t="inlineStr">
        <is>
          <t xml:space="preserve">station </t>
        </is>
      </c>
      <c r="B8754">
        <f>VLOOKUP(2640,Requirements!A2:B2967,2,FALSE)</f>
        <v/>
      </c>
    </row>
    <row r="8755">
      <c r="A8755" t="inlineStr">
        <is>
          <t xml:space="preserve">station </t>
        </is>
      </c>
      <c r="B8755">
        <f>VLOOKUP(3251,Requirements!A2:B2967,2,FALSE)</f>
        <v/>
      </c>
    </row>
    <row r="8756">
      <c r="A8756" t="inlineStr">
        <is>
          <t xml:space="preserve">empty </t>
        </is>
      </c>
      <c r="B8756">
        <f>VLOOKUP(209,Requirements!A2:B2967,2,FALSE)</f>
        <v/>
      </c>
    </row>
    <row r="8757">
      <c r="A8757" t="inlineStr">
        <is>
          <t xml:space="preserve">empty </t>
        </is>
      </c>
      <c r="B8757">
        <f>VLOOKUP(399,Requirements!A2:B2967,2,FALSE)</f>
        <v/>
      </c>
    </row>
    <row r="8758">
      <c r="A8758" t="inlineStr">
        <is>
          <t xml:space="preserve">empty </t>
        </is>
      </c>
      <c r="B8758">
        <f>VLOOKUP(472,Requirements!A2:B2967,2,FALSE)</f>
        <v/>
      </c>
    </row>
    <row r="8759">
      <c r="A8759" t="inlineStr">
        <is>
          <t xml:space="preserve">empty </t>
        </is>
      </c>
      <c r="B8759">
        <f>VLOOKUP(478,Requirements!A2:B2967,2,FALSE)</f>
        <v/>
      </c>
    </row>
    <row r="8760">
      <c r="A8760" t="inlineStr">
        <is>
          <t xml:space="preserve">empty </t>
        </is>
      </c>
      <c r="B8760">
        <f>VLOOKUP(774,Requirements!A2:B2967,2,FALSE)</f>
        <v/>
      </c>
    </row>
    <row r="8761">
      <c r="A8761" t="inlineStr">
        <is>
          <t xml:space="preserve">empty </t>
        </is>
      </c>
      <c r="B8761">
        <f>VLOOKUP(966,Requirements!A2:B2967,2,FALSE)</f>
        <v/>
      </c>
    </row>
    <row r="8762">
      <c r="A8762" t="inlineStr">
        <is>
          <t xml:space="preserve">empty </t>
        </is>
      </c>
      <c r="B8762">
        <f>VLOOKUP(1036,Requirements!A2:B2967,2,FALSE)</f>
        <v/>
      </c>
    </row>
    <row r="8763">
      <c r="A8763" t="inlineStr">
        <is>
          <t xml:space="preserve">empty </t>
        </is>
      </c>
      <c r="B8763">
        <f>VLOOKUP(1510,Requirements!A2:B2967,2,FALSE)</f>
        <v/>
      </c>
    </row>
    <row r="8764">
      <c r="A8764" t="inlineStr">
        <is>
          <t xml:space="preserve">empty </t>
        </is>
      </c>
      <c r="B8764">
        <f>VLOOKUP(1819,Requirements!A2:B2967,2,FALSE)</f>
        <v/>
      </c>
    </row>
    <row r="8765">
      <c r="A8765" t="inlineStr">
        <is>
          <t xml:space="preserve">empty </t>
        </is>
      </c>
      <c r="B8765">
        <f>VLOOKUP(1844,Requirements!A2:B2967,2,FALSE)</f>
        <v/>
      </c>
    </row>
    <row r="8766">
      <c r="A8766" t="inlineStr">
        <is>
          <t xml:space="preserve">empty </t>
        </is>
      </c>
      <c r="B8766">
        <f>VLOOKUP(2174,Requirements!A2:B2967,2,FALSE)</f>
        <v/>
      </c>
    </row>
    <row r="8767">
      <c r="A8767" t="inlineStr">
        <is>
          <t xml:space="preserve">empty </t>
        </is>
      </c>
      <c r="B8767">
        <f>VLOOKUP(2286,Requirements!A2:B2967,2,FALSE)</f>
        <v/>
      </c>
    </row>
    <row r="8768">
      <c r="A8768" t="inlineStr">
        <is>
          <t xml:space="preserve">empty </t>
        </is>
      </c>
      <c r="B8768">
        <f>VLOOKUP(2367,Requirements!A2:B2967,2,FALSE)</f>
        <v/>
      </c>
    </row>
    <row r="8769">
      <c r="A8769" t="inlineStr">
        <is>
          <t xml:space="preserve">empty </t>
        </is>
      </c>
      <c r="B8769">
        <f>VLOOKUP(2897,Requirements!A2:B2967,2,FALSE)</f>
        <v/>
      </c>
    </row>
    <row r="8770">
      <c r="A8770" t="inlineStr">
        <is>
          <t xml:space="preserve">empty </t>
        </is>
      </c>
      <c r="B8770">
        <f>VLOOKUP(3062,Requirements!A2:B2967,2,FALSE)</f>
        <v/>
      </c>
    </row>
    <row r="8771">
      <c r="A8771" t="inlineStr">
        <is>
          <t xml:space="preserve">empty </t>
        </is>
      </c>
      <c r="B8771">
        <f>VLOOKUP(3099,Requirements!A2:B2967,2,FALSE)</f>
        <v/>
      </c>
    </row>
    <row r="8772">
      <c r="A8772" t="inlineStr">
        <is>
          <t xml:space="preserve">radio </t>
        </is>
      </c>
      <c r="B8772">
        <f>VLOOKUP(210,Requirements!A2:B2967,2,FALSE)</f>
        <v/>
      </c>
    </row>
    <row r="8773">
      <c r="A8773" t="inlineStr">
        <is>
          <t xml:space="preserve">radio </t>
        </is>
      </c>
      <c r="B8773">
        <f>VLOOKUP(923,Requirements!A2:B2967,2,FALSE)</f>
        <v/>
      </c>
    </row>
    <row r="8774">
      <c r="A8774" t="inlineStr">
        <is>
          <t xml:space="preserve">radio </t>
        </is>
      </c>
      <c r="B8774">
        <f>VLOOKUP(1531,Requirements!A2:B2967,2,FALSE)</f>
        <v/>
      </c>
    </row>
    <row r="8775">
      <c r="A8775" t="inlineStr">
        <is>
          <t xml:space="preserve">radio </t>
        </is>
      </c>
      <c r="B8775">
        <f>VLOOKUP(1704,Requirements!A2:B2967,2,FALSE)</f>
        <v/>
      </c>
    </row>
    <row r="8776">
      <c r="A8776" t="inlineStr">
        <is>
          <t xml:space="preserve">radio </t>
        </is>
      </c>
      <c r="B8776">
        <f>VLOOKUP(2006,Requirements!A2:B2967,2,FALSE)</f>
        <v/>
      </c>
    </row>
    <row r="8777">
      <c r="A8777" t="inlineStr">
        <is>
          <t xml:space="preserve">radio </t>
        </is>
      </c>
      <c r="B8777">
        <f>VLOOKUP(2733,Requirements!A2:B2967,2,FALSE)</f>
        <v/>
      </c>
    </row>
    <row r="8778">
      <c r="A8778" t="inlineStr">
        <is>
          <t xml:space="preserve">specific </t>
        </is>
      </c>
      <c r="B8778">
        <f>VLOOKUP(218,Requirements!A2:B2967,2,FALSE)</f>
        <v/>
      </c>
    </row>
    <row r="8779">
      <c r="A8779" t="inlineStr">
        <is>
          <t xml:space="preserve">specific </t>
        </is>
      </c>
      <c r="B8779">
        <f>VLOOKUP(583,Requirements!A2:B2967,2,FALSE)</f>
        <v/>
      </c>
    </row>
    <row r="8780">
      <c r="A8780" t="inlineStr">
        <is>
          <t xml:space="preserve">specific </t>
        </is>
      </c>
      <c r="B8780">
        <f>VLOOKUP(1193,Requirements!A2:B2967,2,FALSE)</f>
        <v/>
      </c>
    </row>
    <row r="8781">
      <c r="A8781" t="inlineStr">
        <is>
          <t xml:space="preserve">specific </t>
        </is>
      </c>
      <c r="B8781">
        <f>VLOOKUP(1527,Requirements!A2:B2967,2,FALSE)</f>
        <v/>
      </c>
    </row>
    <row r="8782">
      <c r="A8782" t="inlineStr">
        <is>
          <t xml:space="preserve">specific </t>
        </is>
      </c>
      <c r="B8782">
        <f>VLOOKUP(1653,Requirements!A2:B2967,2,FALSE)</f>
        <v/>
      </c>
    </row>
    <row r="8783">
      <c r="A8783" t="inlineStr">
        <is>
          <t xml:space="preserve">specific </t>
        </is>
      </c>
      <c r="B8783">
        <f>VLOOKUP(1937,Requirements!A2:B2967,2,FALSE)</f>
        <v/>
      </c>
    </row>
    <row r="8784">
      <c r="A8784" t="inlineStr">
        <is>
          <t xml:space="preserve">specific </t>
        </is>
      </c>
      <c r="B8784">
        <f>VLOOKUP(2733,Requirements!A2:B2967,2,FALSE)</f>
        <v/>
      </c>
    </row>
    <row r="8785">
      <c r="A8785" t="inlineStr">
        <is>
          <t xml:space="preserve">specific </t>
        </is>
      </c>
      <c r="B8785">
        <f>VLOOKUP(2809,Requirements!A2:B2967,2,FALSE)</f>
        <v/>
      </c>
    </row>
    <row r="8786">
      <c r="A8786" t="inlineStr">
        <is>
          <t xml:space="preserve">clock </t>
        </is>
      </c>
      <c r="B8786">
        <f>VLOOKUP(221,Requirements!A2:B2967,2,FALSE)</f>
        <v/>
      </c>
    </row>
    <row r="8787">
      <c r="A8787" t="inlineStr">
        <is>
          <t xml:space="preserve">clock </t>
        </is>
      </c>
      <c r="B8787">
        <f>VLOOKUP(348,Requirements!A2:B2967,2,FALSE)</f>
        <v/>
      </c>
    </row>
    <row r="8788">
      <c r="A8788" t="inlineStr">
        <is>
          <t xml:space="preserve">clock </t>
        </is>
      </c>
      <c r="B8788">
        <f>VLOOKUP(563,Requirements!A2:B2967,2,FALSE)</f>
        <v/>
      </c>
    </row>
    <row r="8789">
      <c r="A8789" t="inlineStr">
        <is>
          <t xml:space="preserve">clock </t>
        </is>
      </c>
      <c r="B8789">
        <f>VLOOKUP(579,Requirements!A2:B2967,2,FALSE)</f>
        <v/>
      </c>
    </row>
    <row r="8790">
      <c r="A8790" t="inlineStr">
        <is>
          <t xml:space="preserve">clock </t>
        </is>
      </c>
      <c r="B8790">
        <f>VLOOKUP(658,Requirements!A2:B2967,2,FALSE)</f>
        <v/>
      </c>
    </row>
    <row r="8791">
      <c r="A8791" t="inlineStr">
        <is>
          <t xml:space="preserve">clock </t>
        </is>
      </c>
      <c r="B8791">
        <f>VLOOKUP(1172,Requirements!A2:B2967,2,FALSE)</f>
        <v/>
      </c>
    </row>
    <row r="8792">
      <c r="A8792" t="inlineStr">
        <is>
          <t xml:space="preserve">clock </t>
        </is>
      </c>
      <c r="B8792">
        <f>VLOOKUP(1423,Requirements!A2:B2967,2,FALSE)</f>
        <v/>
      </c>
    </row>
    <row r="8793">
      <c r="A8793" t="inlineStr">
        <is>
          <t xml:space="preserve">clock </t>
        </is>
      </c>
      <c r="B8793">
        <f>VLOOKUP(1490,Requirements!A2:B2967,2,FALSE)</f>
        <v/>
      </c>
    </row>
    <row r="8794">
      <c r="A8794" t="inlineStr">
        <is>
          <t xml:space="preserve">clock </t>
        </is>
      </c>
      <c r="B8794">
        <f>VLOOKUP(2344,Requirements!A2:B2967,2,FALSE)</f>
        <v/>
      </c>
    </row>
    <row r="8795">
      <c r="A8795" t="inlineStr">
        <is>
          <t xml:space="preserve">clock </t>
        </is>
      </c>
      <c r="B8795">
        <f>VLOOKUP(2414,Requirements!A2:B2967,2,FALSE)</f>
        <v/>
      </c>
    </row>
    <row r="8796">
      <c r="A8796" t="inlineStr">
        <is>
          <t xml:space="preserve">clock </t>
        </is>
      </c>
      <c r="B8796">
        <f>VLOOKUP(2906,Requirements!A2:B2967,2,FALSE)</f>
        <v/>
      </c>
    </row>
    <row r="8797">
      <c r="A8797" t="inlineStr">
        <is>
          <t xml:space="preserve">movement </t>
        </is>
      </c>
      <c r="B8797">
        <f>VLOOKUP(222,Requirements!A2:B2967,2,FALSE)</f>
        <v/>
      </c>
    </row>
    <row r="8798">
      <c r="A8798" t="inlineStr">
        <is>
          <t xml:space="preserve">movement </t>
        </is>
      </c>
      <c r="B8798">
        <f>VLOOKUP(256,Requirements!A2:B2967,2,FALSE)</f>
        <v/>
      </c>
    </row>
    <row r="8799">
      <c r="A8799" t="inlineStr">
        <is>
          <t xml:space="preserve">movement </t>
        </is>
      </c>
      <c r="B8799">
        <f>VLOOKUP(394,Requirements!A2:B2967,2,FALSE)</f>
        <v/>
      </c>
    </row>
    <row r="8800">
      <c r="A8800" t="inlineStr">
        <is>
          <t xml:space="preserve">movement </t>
        </is>
      </c>
      <c r="B8800">
        <f>VLOOKUP(535,Requirements!A2:B2967,2,FALSE)</f>
        <v/>
      </c>
    </row>
    <row r="8801">
      <c r="A8801" t="inlineStr">
        <is>
          <t xml:space="preserve">movement </t>
        </is>
      </c>
      <c r="B8801">
        <f>VLOOKUP(668,Requirements!A2:B2967,2,FALSE)</f>
        <v/>
      </c>
    </row>
    <row r="8802">
      <c r="A8802" t="inlineStr">
        <is>
          <t xml:space="preserve">movement </t>
        </is>
      </c>
      <c r="B8802">
        <f>VLOOKUP(775,Requirements!A2:B2967,2,FALSE)</f>
        <v/>
      </c>
    </row>
    <row r="8803">
      <c r="A8803" t="inlineStr">
        <is>
          <t xml:space="preserve">movement </t>
        </is>
      </c>
      <c r="B8803">
        <f>VLOOKUP(878,Requirements!A2:B2967,2,FALSE)</f>
        <v/>
      </c>
    </row>
    <row r="8804">
      <c r="A8804" t="inlineStr">
        <is>
          <t xml:space="preserve">movement </t>
        </is>
      </c>
      <c r="B8804">
        <f>VLOOKUP(1285,Requirements!A2:B2967,2,FALSE)</f>
        <v/>
      </c>
    </row>
    <row r="8805">
      <c r="A8805" t="inlineStr">
        <is>
          <t xml:space="preserve">movement </t>
        </is>
      </c>
      <c r="B8805">
        <f>VLOOKUP(1575,Requirements!A2:B2967,2,FALSE)</f>
        <v/>
      </c>
    </row>
    <row r="8806">
      <c r="A8806" t="inlineStr">
        <is>
          <t xml:space="preserve">movement </t>
        </is>
      </c>
      <c r="B8806">
        <f>VLOOKUP(1769,Requirements!A2:B2967,2,FALSE)</f>
        <v/>
      </c>
    </row>
    <row r="8807">
      <c r="A8807" t="inlineStr">
        <is>
          <t xml:space="preserve">movement </t>
        </is>
      </c>
      <c r="B8807">
        <f>VLOOKUP(1912,Requirements!A2:B2967,2,FALSE)</f>
        <v/>
      </c>
    </row>
    <row r="8808">
      <c r="A8808" t="inlineStr">
        <is>
          <t xml:space="preserve">movement </t>
        </is>
      </c>
      <c r="B8808">
        <f>VLOOKUP(2010,Requirements!A2:B2967,2,FALSE)</f>
        <v/>
      </c>
    </row>
    <row r="8809">
      <c r="A8809" t="inlineStr">
        <is>
          <t xml:space="preserve">movement </t>
        </is>
      </c>
      <c r="B8809">
        <f>VLOOKUP(2057,Requirements!A2:B2967,2,FALSE)</f>
        <v/>
      </c>
    </row>
    <row r="8810">
      <c r="A8810" t="inlineStr">
        <is>
          <t xml:space="preserve">movement </t>
        </is>
      </c>
      <c r="B8810">
        <f>VLOOKUP(2125,Requirements!A2:B2967,2,FALSE)</f>
        <v/>
      </c>
    </row>
    <row r="8811">
      <c r="A8811" t="inlineStr">
        <is>
          <t xml:space="preserve">movement </t>
        </is>
      </c>
      <c r="B8811">
        <f>VLOOKUP(2545,Requirements!A2:B2967,2,FALSE)</f>
        <v/>
      </c>
    </row>
    <row r="8812">
      <c r="A8812" t="inlineStr">
        <is>
          <t xml:space="preserve">movement </t>
        </is>
      </c>
      <c r="B8812">
        <f>VLOOKUP(2587,Requirements!A2:B2967,2,FALSE)</f>
        <v/>
      </c>
    </row>
    <row r="8813">
      <c r="A8813" t="inlineStr">
        <is>
          <t xml:space="preserve">movement </t>
        </is>
      </c>
      <c r="B8813">
        <f>VLOOKUP(2762,Requirements!A2:B2967,2,FALSE)</f>
        <v/>
      </c>
    </row>
    <row r="8814">
      <c r="A8814" t="inlineStr">
        <is>
          <t xml:space="preserve">movement </t>
        </is>
      </c>
      <c r="B8814">
        <f>VLOOKUP(2846,Requirements!A2:B2967,2,FALSE)</f>
        <v/>
      </c>
    </row>
    <row r="8815">
      <c r="A8815" t="inlineStr">
        <is>
          <t xml:space="preserve">movement </t>
        </is>
      </c>
      <c r="B8815">
        <f>VLOOKUP(2892,Requirements!A2:B2967,2,FALSE)</f>
        <v/>
      </c>
    </row>
    <row r="8816">
      <c r="A8816" t="inlineStr">
        <is>
          <t xml:space="preserve">movement </t>
        </is>
      </c>
      <c r="B8816">
        <f>VLOOKUP(2914,Requirements!A2:B2967,2,FALSE)</f>
        <v/>
      </c>
    </row>
    <row r="8817">
      <c r="A8817" t="inlineStr">
        <is>
          <t xml:space="preserve">movement </t>
        </is>
      </c>
      <c r="B8817">
        <f>VLOOKUP(2922,Requirements!A2:B2967,2,FALSE)</f>
        <v/>
      </c>
    </row>
    <row r="8818">
      <c r="A8818" t="inlineStr">
        <is>
          <t xml:space="preserve">movement </t>
        </is>
      </c>
      <c r="B8818">
        <f>VLOOKUP(3006,Requirements!A2:B2967,2,FALSE)</f>
        <v/>
      </c>
    </row>
    <row r="8819">
      <c r="A8819" t="inlineStr">
        <is>
          <t xml:space="preserve">movement </t>
        </is>
      </c>
      <c r="B8819">
        <f>VLOOKUP(3121,Requirements!A2:B2967,2,FALSE)</f>
        <v/>
      </c>
    </row>
    <row r="8820">
      <c r="A8820" t="inlineStr">
        <is>
          <t xml:space="preserve">movement </t>
        </is>
      </c>
      <c r="B8820">
        <f>VLOOKUP(3136,Requirements!A2:B2967,2,FALSE)</f>
        <v/>
      </c>
    </row>
    <row r="8821">
      <c r="A8821" t="inlineStr">
        <is>
          <t xml:space="preserve">owner </t>
        </is>
      </c>
      <c r="B8821">
        <f>VLOOKUP(223,Requirements!A2:B2967,2,FALSE)</f>
        <v/>
      </c>
    </row>
    <row r="8822">
      <c r="A8822" t="inlineStr">
        <is>
          <t xml:space="preserve">owner </t>
        </is>
      </c>
      <c r="B8822">
        <f>VLOOKUP(279,Requirements!A2:B2967,2,FALSE)</f>
        <v/>
      </c>
    </row>
    <row r="8823">
      <c r="A8823" t="inlineStr">
        <is>
          <t xml:space="preserve">owner </t>
        </is>
      </c>
      <c r="B8823">
        <f>VLOOKUP(415,Requirements!A2:B2967,2,FALSE)</f>
        <v/>
      </c>
    </row>
    <row r="8824">
      <c r="A8824" t="inlineStr">
        <is>
          <t xml:space="preserve">owner </t>
        </is>
      </c>
      <c r="B8824">
        <f>VLOOKUP(472,Requirements!A2:B2967,2,FALSE)</f>
        <v/>
      </c>
    </row>
    <row r="8825">
      <c r="A8825" t="inlineStr">
        <is>
          <t xml:space="preserve">owner </t>
        </is>
      </c>
      <c r="B8825">
        <f>VLOOKUP(512,Requirements!A2:B2967,2,FALSE)</f>
        <v/>
      </c>
    </row>
    <row r="8826">
      <c r="A8826" t="inlineStr">
        <is>
          <t xml:space="preserve">owner </t>
        </is>
      </c>
      <c r="B8826">
        <f>VLOOKUP(660,Requirements!A2:B2967,2,FALSE)</f>
        <v/>
      </c>
    </row>
    <row r="8827">
      <c r="A8827" t="inlineStr">
        <is>
          <t xml:space="preserve">owner </t>
        </is>
      </c>
      <c r="B8827">
        <f>VLOOKUP(806,Requirements!A2:B2967,2,FALSE)</f>
        <v/>
      </c>
    </row>
    <row r="8828">
      <c r="A8828" t="inlineStr">
        <is>
          <t xml:space="preserve">owner </t>
        </is>
      </c>
      <c r="B8828">
        <f>VLOOKUP(819,Requirements!A2:B2967,2,FALSE)</f>
        <v/>
      </c>
    </row>
    <row r="8829">
      <c r="A8829" t="inlineStr">
        <is>
          <t xml:space="preserve">owner </t>
        </is>
      </c>
      <c r="B8829">
        <f>VLOOKUP(966,Requirements!A2:B2967,2,FALSE)</f>
        <v/>
      </c>
    </row>
    <row r="8830">
      <c r="A8830" t="inlineStr">
        <is>
          <t xml:space="preserve">owner </t>
        </is>
      </c>
      <c r="B8830">
        <f>VLOOKUP(1012,Requirements!A2:B2967,2,FALSE)</f>
        <v/>
      </c>
    </row>
    <row r="8831">
      <c r="A8831" t="inlineStr">
        <is>
          <t xml:space="preserve">owner </t>
        </is>
      </c>
      <c r="B8831">
        <f>VLOOKUP(1014,Requirements!A2:B2967,2,FALSE)</f>
        <v/>
      </c>
    </row>
    <row r="8832">
      <c r="A8832" t="inlineStr">
        <is>
          <t xml:space="preserve">owner </t>
        </is>
      </c>
      <c r="B8832">
        <f>VLOOKUP(1015,Requirements!A2:B2967,2,FALSE)</f>
        <v/>
      </c>
    </row>
    <row r="8833">
      <c r="A8833" t="inlineStr">
        <is>
          <t xml:space="preserve">owner </t>
        </is>
      </c>
      <c r="B8833">
        <f>VLOOKUP(1094,Requirements!A2:B2967,2,FALSE)</f>
        <v/>
      </c>
    </row>
    <row r="8834">
      <c r="A8834" t="inlineStr">
        <is>
          <t xml:space="preserve">owner </t>
        </is>
      </c>
      <c r="B8834">
        <f>VLOOKUP(1667,Requirements!A2:B2967,2,FALSE)</f>
        <v/>
      </c>
    </row>
    <row r="8835">
      <c r="A8835" t="inlineStr">
        <is>
          <t xml:space="preserve">owner </t>
        </is>
      </c>
      <c r="B8835">
        <f>VLOOKUP(1670,Requirements!A2:B2967,2,FALSE)</f>
        <v/>
      </c>
    </row>
    <row r="8836">
      <c r="A8836" t="inlineStr">
        <is>
          <t xml:space="preserve">owner </t>
        </is>
      </c>
      <c r="B8836">
        <f>VLOOKUP(1946,Requirements!A2:B2967,2,FALSE)</f>
        <v/>
      </c>
    </row>
    <row r="8837">
      <c r="A8837" t="inlineStr">
        <is>
          <t xml:space="preserve">owner </t>
        </is>
      </c>
      <c r="B8837">
        <f>VLOOKUP(2186,Requirements!A2:B2967,2,FALSE)</f>
        <v/>
      </c>
    </row>
    <row r="8838">
      <c r="A8838" t="inlineStr">
        <is>
          <t xml:space="preserve">owner </t>
        </is>
      </c>
      <c r="B8838">
        <f>VLOOKUP(2190,Requirements!A2:B2967,2,FALSE)</f>
        <v/>
      </c>
    </row>
    <row r="8839">
      <c r="A8839" t="inlineStr">
        <is>
          <t xml:space="preserve">owner </t>
        </is>
      </c>
      <c r="B8839">
        <f>VLOOKUP(2255,Requirements!A2:B2967,2,FALSE)</f>
        <v/>
      </c>
    </row>
    <row r="8840">
      <c r="A8840" t="inlineStr">
        <is>
          <t xml:space="preserve">owner </t>
        </is>
      </c>
      <c r="B8840">
        <f>VLOOKUP(2265,Requirements!A2:B2967,2,FALSE)</f>
        <v/>
      </c>
    </row>
    <row r="8841">
      <c r="A8841" t="inlineStr">
        <is>
          <t xml:space="preserve">owner </t>
        </is>
      </c>
      <c r="B8841">
        <f>VLOOKUP(2281,Requirements!A2:B2967,2,FALSE)</f>
        <v/>
      </c>
    </row>
    <row r="8842">
      <c r="A8842" t="inlineStr">
        <is>
          <t xml:space="preserve">owner </t>
        </is>
      </c>
      <c r="B8842">
        <f>VLOOKUP(2315,Requirements!A2:B2967,2,FALSE)</f>
        <v/>
      </c>
    </row>
    <row r="8843">
      <c r="A8843" t="inlineStr">
        <is>
          <t xml:space="preserve">owner </t>
        </is>
      </c>
      <c r="B8843">
        <f>VLOOKUP(2349,Requirements!A2:B2967,2,FALSE)</f>
        <v/>
      </c>
    </row>
    <row r="8844">
      <c r="A8844" t="inlineStr">
        <is>
          <t xml:space="preserve">owner </t>
        </is>
      </c>
      <c r="B8844">
        <f>VLOOKUP(2364,Requirements!A2:B2967,2,FALSE)</f>
        <v/>
      </c>
    </row>
    <row r="8845">
      <c r="A8845" t="inlineStr">
        <is>
          <t xml:space="preserve">owner </t>
        </is>
      </c>
      <c r="B8845">
        <f>VLOOKUP(2462,Requirements!A2:B2967,2,FALSE)</f>
        <v/>
      </c>
    </row>
    <row r="8846">
      <c r="A8846" t="inlineStr">
        <is>
          <t xml:space="preserve">owner </t>
        </is>
      </c>
      <c r="B8846">
        <f>VLOOKUP(2519,Requirements!A2:B2967,2,FALSE)</f>
        <v/>
      </c>
    </row>
    <row r="8847">
      <c r="A8847" t="inlineStr">
        <is>
          <t xml:space="preserve">owner </t>
        </is>
      </c>
      <c r="B8847">
        <f>VLOOKUP(2522,Requirements!A2:B2967,2,FALSE)</f>
        <v/>
      </c>
    </row>
    <row r="8848">
      <c r="A8848" t="inlineStr">
        <is>
          <t xml:space="preserve">owner </t>
        </is>
      </c>
      <c r="B8848">
        <f>VLOOKUP(2597,Requirements!A2:B2967,2,FALSE)</f>
        <v/>
      </c>
    </row>
    <row r="8849">
      <c r="A8849" t="inlineStr">
        <is>
          <t xml:space="preserve">owner </t>
        </is>
      </c>
      <c r="B8849">
        <f>VLOOKUP(2833,Requirements!A2:B2967,2,FALSE)</f>
        <v/>
      </c>
    </row>
    <row r="8850">
      <c r="A8850" t="inlineStr">
        <is>
          <t xml:space="preserve">owner </t>
        </is>
      </c>
      <c r="B8850">
        <f>VLOOKUP(2877,Requirements!A2:B2967,2,FALSE)</f>
        <v/>
      </c>
    </row>
    <row r="8851">
      <c r="A8851" t="inlineStr">
        <is>
          <t xml:space="preserve">owner </t>
        </is>
      </c>
      <c r="B8851">
        <f>VLOOKUP(3079,Requirements!A2:B2967,2,FALSE)</f>
        <v/>
      </c>
    </row>
    <row r="8852">
      <c r="A8852" t="inlineStr">
        <is>
          <t xml:space="preserve">owner </t>
        </is>
      </c>
      <c r="B8852">
        <f>VLOOKUP(3098,Requirements!A2:B2967,2,FALSE)</f>
        <v/>
      </c>
    </row>
    <row r="8853">
      <c r="A8853" t="inlineStr">
        <is>
          <t xml:space="preserve">owner </t>
        </is>
      </c>
      <c r="B8853">
        <f>VLOOKUP(3125,Requirements!A2:B2967,2,FALSE)</f>
        <v/>
      </c>
    </row>
    <row r="8854">
      <c r="A8854" t="inlineStr">
        <is>
          <t xml:space="preserve">owner </t>
        </is>
      </c>
      <c r="B8854">
        <f>VLOOKUP(3133,Requirements!A2:B2967,2,FALSE)</f>
        <v/>
      </c>
    </row>
    <row r="8855">
      <c r="A8855" t="inlineStr">
        <is>
          <t xml:space="preserve">call </t>
        </is>
      </c>
      <c r="B8855">
        <f>VLOOKUP(223,Requirements!A2:B2967,2,FALSE)</f>
        <v/>
      </c>
    </row>
    <row r="8856">
      <c r="A8856" t="inlineStr">
        <is>
          <t xml:space="preserve">call </t>
        </is>
      </c>
      <c r="B8856">
        <f>VLOOKUP(360,Requirements!A2:B2967,2,FALSE)</f>
        <v/>
      </c>
    </row>
    <row r="8857">
      <c r="A8857" t="inlineStr">
        <is>
          <t xml:space="preserve">call </t>
        </is>
      </c>
      <c r="B8857">
        <f>VLOOKUP(554,Requirements!A2:B2967,2,FALSE)</f>
        <v/>
      </c>
    </row>
    <row r="8858">
      <c r="A8858" t="inlineStr">
        <is>
          <t xml:space="preserve">call </t>
        </is>
      </c>
      <c r="B8858">
        <f>VLOOKUP(641,Requirements!A2:B2967,2,FALSE)</f>
        <v/>
      </c>
    </row>
    <row r="8859">
      <c r="A8859" t="inlineStr">
        <is>
          <t xml:space="preserve">call </t>
        </is>
      </c>
      <c r="B8859">
        <f>VLOOKUP(1072,Requirements!A2:B2967,2,FALSE)</f>
        <v/>
      </c>
    </row>
    <row r="8860">
      <c r="A8860" t="inlineStr">
        <is>
          <t xml:space="preserve">call </t>
        </is>
      </c>
      <c r="B8860">
        <f>VLOOKUP(1564,Requirements!A2:B2967,2,FALSE)</f>
        <v/>
      </c>
    </row>
    <row r="8861">
      <c r="A8861" t="inlineStr">
        <is>
          <t xml:space="preserve">call </t>
        </is>
      </c>
      <c r="B8861">
        <f>VLOOKUP(1589,Requirements!A2:B2967,2,FALSE)</f>
        <v/>
      </c>
    </row>
    <row r="8862">
      <c r="A8862" t="inlineStr">
        <is>
          <t xml:space="preserve">call </t>
        </is>
      </c>
      <c r="B8862">
        <f>VLOOKUP(1620,Requirements!A2:B2967,2,FALSE)</f>
        <v/>
      </c>
    </row>
    <row r="8863">
      <c r="A8863" t="inlineStr">
        <is>
          <t xml:space="preserve">mother </t>
        </is>
      </c>
      <c r="B8863">
        <f>VLOOKUP(225,Requirements!A2:B2967,2,FALSE)</f>
        <v/>
      </c>
    </row>
    <row r="8864">
      <c r="A8864" t="inlineStr">
        <is>
          <t xml:space="preserve">mother </t>
        </is>
      </c>
      <c r="B8864">
        <f>VLOOKUP(227,Requirements!A2:B2967,2,FALSE)</f>
        <v/>
      </c>
    </row>
    <row r="8865">
      <c r="A8865" t="inlineStr">
        <is>
          <t xml:space="preserve">mother </t>
        </is>
      </c>
      <c r="B8865">
        <f>VLOOKUP(229,Requirements!A2:B2967,2,FALSE)</f>
        <v/>
      </c>
    </row>
    <row r="8866">
      <c r="A8866" t="inlineStr">
        <is>
          <t xml:space="preserve">mother </t>
        </is>
      </c>
      <c r="B8866">
        <f>VLOOKUP(234,Requirements!A2:B2967,2,FALSE)</f>
        <v/>
      </c>
    </row>
    <row r="8867">
      <c r="A8867" t="inlineStr">
        <is>
          <t xml:space="preserve">mother </t>
        </is>
      </c>
      <c r="B8867">
        <f>VLOOKUP(300,Requirements!A2:B2967,2,FALSE)</f>
        <v/>
      </c>
    </row>
    <row r="8868">
      <c r="A8868" t="inlineStr">
        <is>
          <t xml:space="preserve">mother </t>
        </is>
      </c>
      <c r="B8868">
        <f>VLOOKUP(301,Requirements!A2:B2967,2,FALSE)</f>
        <v/>
      </c>
    </row>
    <row r="8869">
      <c r="A8869" t="inlineStr">
        <is>
          <t xml:space="preserve">mother </t>
        </is>
      </c>
      <c r="B8869">
        <f>VLOOKUP(313,Requirements!A2:B2967,2,FALSE)</f>
        <v/>
      </c>
    </row>
    <row r="8870">
      <c r="A8870" t="inlineStr">
        <is>
          <t xml:space="preserve">mother </t>
        </is>
      </c>
      <c r="B8870">
        <f>VLOOKUP(324,Requirements!A2:B2967,2,FALSE)</f>
        <v/>
      </c>
    </row>
    <row r="8871">
      <c r="A8871" t="inlineStr">
        <is>
          <t xml:space="preserve">mother </t>
        </is>
      </c>
      <c r="B8871">
        <f>VLOOKUP(325,Requirements!A2:B2967,2,FALSE)</f>
        <v/>
      </c>
    </row>
    <row r="8872">
      <c r="A8872" t="inlineStr">
        <is>
          <t xml:space="preserve">mother </t>
        </is>
      </c>
      <c r="B8872">
        <f>VLOOKUP(330,Requirements!A2:B2967,2,FALSE)</f>
        <v/>
      </c>
    </row>
    <row r="8873">
      <c r="A8873" t="inlineStr">
        <is>
          <t xml:space="preserve">mother </t>
        </is>
      </c>
      <c r="B8873">
        <f>VLOOKUP(648,Requirements!A2:B2967,2,FALSE)</f>
        <v/>
      </c>
    </row>
    <row r="8874">
      <c r="A8874" t="inlineStr">
        <is>
          <t xml:space="preserve">mother </t>
        </is>
      </c>
      <c r="B8874">
        <f>VLOOKUP(810,Requirements!A2:B2967,2,FALSE)</f>
        <v/>
      </c>
    </row>
    <row r="8875">
      <c r="A8875" t="inlineStr">
        <is>
          <t xml:space="preserve">mother </t>
        </is>
      </c>
      <c r="B8875">
        <f>VLOOKUP(871,Requirements!A2:B2967,2,FALSE)</f>
        <v/>
      </c>
    </row>
    <row r="8876">
      <c r="A8876" t="inlineStr">
        <is>
          <t xml:space="preserve">mother </t>
        </is>
      </c>
      <c r="B8876">
        <f>VLOOKUP(1047,Requirements!A2:B2967,2,FALSE)</f>
        <v/>
      </c>
    </row>
    <row r="8877">
      <c r="A8877" t="inlineStr">
        <is>
          <t xml:space="preserve">mother </t>
        </is>
      </c>
      <c r="B8877">
        <f>VLOOKUP(1050,Requirements!A2:B2967,2,FALSE)</f>
        <v/>
      </c>
    </row>
    <row r="8878">
      <c r="A8878" t="inlineStr">
        <is>
          <t xml:space="preserve">mother </t>
        </is>
      </c>
      <c r="B8878">
        <f>VLOOKUP(1057,Requirements!A2:B2967,2,FALSE)</f>
        <v/>
      </c>
    </row>
    <row r="8879">
      <c r="A8879" t="inlineStr">
        <is>
          <t xml:space="preserve">mother </t>
        </is>
      </c>
      <c r="B8879">
        <f>VLOOKUP(1103,Requirements!A2:B2967,2,FALSE)</f>
        <v/>
      </c>
    </row>
    <row r="8880">
      <c r="A8880" t="inlineStr">
        <is>
          <t xml:space="preserve">mother </t>
        </is>
      </c>
      <c r="B8880">
        <f>VLOOKUP(1192,Requirements!A2:B2967,2,FALSE)</f>
        <v/>
      </c>
    </row>
    <row r="8881">
      <c r="A8881" t="inlineStr">
        <is>
          <t xml:space="preserve">mother </t>
        </is>
      </c>
      <c r="B8881">
        <f>VLOOKUP(1239,Requirements!A2:B2967,2,FALSE)</f>
        <v/>
      </c>
    </row>
    <row r="8882">
      <c r="A8882" t="inlineStr">
        <is>
          <t xml:space="preserve">mother </t>
        </is>
      </c>
      <c r="B8882">
        <f>VLOOKUP(1374,Requirements!A2:B2967,2,FALSE)</f>
        <v/>
      </c>
    </row>
    <row r="8883">
      <c r="A8883" t="inlineStr">
        <is>
          <t xml:space="preserve">mother </t>
        </is>
      </c>
      <c r="B8883">
        <f>VLOOKUP(1431,Requirements!A2:B2967,2,FALSE)</f>
        <v/>
      </c>
    </row>
    <row r="8884">
      <c r="A8884" t="inlineStr">
        <is>
          <t xml:space="preserve">mother </t>
        </is>
      </c>
      <c r="B8884">
        <f>VLOOKUP(1950,Requirements!A2:B2967,2,FALSE)</f>
        <v/>
      </c>
    </row>
    <row r="8885">
      <c r="A8885" t="inlineStr">
        <is>
          <t xml:space="preserve">mother </t>
        </is>
      </c>
      <c r="B8885">
        <f>VLOOKUP(2132,Requirements!A2:B2967,2,FALSE)</f>
        <v/>
      </c>
    </row>
    <row r="8886">
      <c r="A8886" t="inlineStr">
        <is>
          <t xml:space="preserve">mother </t>
        </is>
      </c>
      <c r="B8886">
        <f>VLOOKUP(2199,Requirements!A2:B2967,2,FALSE)</f>
        <v/>
      </c>
    </row>
    <row r="8887">
      <c r="A8887" t="inlineStr">
        <is>
          <t xml:space="preserve">mother </t>
        </is>
      </c>
      <c r="B8887">
        <f>VLOOKUP(2570,Requirements!A2:B2967,2,FALSE)</f>
        <v/>
      </c>
    </row>
    <row r="8888">
      <c r="A8888" t="inlineStr">
        <is>
          <t xml:space="preserve">mother </t>
        </is>
      </c>
      <c r="B8888">
        <f>VLOOKUP(2842,Requirements!A2:B2967,2,FALSE)</f>
        <v/>
      </c>
    </row>
    <row r="8889">
      <c r="A8889" t="inlineStr">
        <is>
          <t xml:space="preserve">mother </t>
        </is>
      </c>
      <c r="B8889">
        <f>VLOOKUP(2848,Requirements!A2:B2967,2,FALSE)</f>
        <v/>
      </c>
    </row>
    <row r="8890">
      <c r="A8890" t="inlineStr">
        <is>
          <t xml:space="preserve">mother </t>
        </is>
      </c>
      <c r="B8890">
        <f>VLOOKUP(2856,Requirements!A2:B2967,2,FALSE)</f>
        <v/>
      </c>
    </row>
    <row r="8891">
      <c r="A8891" t="inlineStr">
        <is>
          <t xml:space="preserve">mother </t>
        </is>
      </c>
      <c r="B8891">
        <f>VLOOKUP(3011,Requirements!A2:B2967,2,FALSE)</f>
        <v/>
      </c>
    </row>
    <row r="8892">
      <c r="A8892" t="inlineStr">
        <is>
          <t xml:space="preserve">mother </t>
        </is>
      </c>
      <c r="B8892">
        <f>VLOOKUP(3057,Requirements!A2:B2967,2,FALSE)</f>
        <v/>
      </c>
    </row>
    <row r="8893">
      <c r="A8893" t="inlineStr">
        <is>
          <t xml:space="preserve">mother </t>
        </is>
      </c>
      <c r="B8893">
        <f>VLOOKUP(3076,Requirements!A2:B2967,2,FALSE)</f>
        <v/>
      </c>
    </row>
    <row r="8894">
      <c r="A8894" t="inlineStr">
        <is>
          <t xml:space="preserve">son </t>
        </is>
      </c>
      <c r="B8894">
        <f>VLOOKUP(225,Requirements!A2:B2967,2,FALSE)</f>
        <v/>
      </c>
    </row>
    <row r="8895">
      <c r="A8895" t="inlineStr">
        <is>
          <t xml:space="preserve">son </t>
        </is>
      </c>
      <c r="B8895">
        <f>VLOOKUP(696,Requirements!A2:B2967,2,FALSE)</f>
        <v/>
      </c>
    </row>
    <row r="8896">
      <c r="A8896" t="inlineStr">
        <is>
          <t xml:space="preserve">son </t>
        </is>
      </c>
      <c r="B8896">
        <f>VLOOKUP(922,Requirements!A2:B2967,2,FALSE)</f>
        <v/>
      </c>
    </row>
    <row r="8897">
      <c r="A8897" t="inlineStr">
        <is>
          <t xml:space="preserve">son </t>
        </is>
      </c>
      <c r="B8897">
        <f>VLOOKUP(1042,Requirements!A2:B2967,2,FALSE)</f>
        <v/>
      </c>
    </row>
    <row r="8898">
      <c r="A8898" t="inlineStr">
        <is>
          <t xml:space="preserve">son </t>
        </is>
      </c>
      <c r="B8898">
        <f>VLOOKUP(1047,Requirements!A2:B2967,2,FALSE)</f>
        <v/>
      </c>
    </row>
    <row r="8899">
      <c r="A8899" t="inlineStr">
        <is>
          <t xml:space="preserve">son </t>
        </is>
      </c>
      <c r="B8899">
        <f>VLOOKUP(1057,Requirements!A2:B2967,2,FALSE)</f>
        <v/>
      </c>
    </row>
    <row r="8900">
      <c r="A8900" t="inlineStr">
        <is>
          <t xml:space="preserve">son </t>
        </is>
      </c>
      <c r="B8900">
        <f>VLOOKUP(1322,Requirements!A2:B2967,2,FALSE)</f>
        <v/>
      </c>
    </row>
    <row r="8901">
      <c r="A8901" t="inlineStr">
        <is>
          <t xml:space="preserve">son </t>
        </is>
      </c>
      <c r="B8901">
        <f>VLOOKUP(1375,Requirements!A2:B2967,2,FALSE)</f>
        <v/>
      </c>
    </row>
    <row r="8902">
      <c r="A8902" t="inlineStr">
        <is>
          <t xml:space="preserve">son </t>
        </is>
      </c>
      <c r="B8902">
        <f>VLOOKUP(2234,Requirements!A2:B2967,2,FALSE)</f>
        <v/>
      </c>
    </row>
    <row r="8903">
      <c r="A8903" t="inlineStr">
        <is>
          <t xml:space="preserve">son </t>
        </is>
      </c>
      <c r="B8903">
        <f>VLOOKUP(2972,Requirements!A2:B2967,2,FALSE)</f>
        <v/>
      </c>
    </row>
    <row r="8904">
      <c r="A8904" t="inlineStr">
        <is>
          <t xml:space="preserve">machine </t>
        </is>
      </c>
      <c r="B8904">
        <f>VLOOKUP(228,Requirements!A2:B2967,2,FALSE)</f>
        <v/>
      </c>
    </row>
    <row r="8905">
      <c r="A8905" t="inlineStr">
        <is>
          <t xml:space="preserve">machine </t>
        </is>
      </c>
      <c r="B8905">
        <f>VLOOKUP(437,Requirements!A2:B2967,2,FALSE)</f>
        <v/>
      </c>
    </row>
    <row r="8906">
      <c r="A8906" t="inlineStr">
        <is>
          <t xml:space="preserve">machine </t>
        </is>
      </c>
      <c r="B8906">
        <f>VLOOKUP(508,Requirements!A2:B2967,2,FALSE)</f>
        <v/>
      </c>
    </row>
    <row r="8907">
      <c r="A8907" t="inlineStr">
        <is>
          <t xml:space="preserve">machine </t>
        </is>
      </c>
      <c r="B8907">
        <f>VLOOKUP(582,Requirements!A2:B2967,2,FALSE)</f>
        <v/>
      </c>
    </row>
    <row r="8908">
      <c r="A8908" t="inlineStr">
        <is>
          <t xml:space="preserve">machine </t>
        </is>
      </c>
      <c r="B8908">
        <f>VLOOKUP(639,Requirements!A2:B2967,2,FALSE)</f>
        <v/>
      </c>
    </row>
    <row r="8909">
      <c r="A8909" t="inlineStr">
        <is>
          <t xml:space="preserve">machine </t>
        </is>
      </c>
      <c r="B8909">
        <f>VLOOKUP(684,Requirements!A2:B2967,2,FALSE)</f>
        <v/>
      </c>
    </row>
    <row r="8910">
      <c r="A8910" t="inlineStr">
        <is>
          <t xml:space="preserve">machine </t>
        </is>
      </c>
      <c r="B8910">
        <f>VLOOKUP(857,Requirements!A2:B2967,2,FALSE)</f>
        <v/>
      </c>
    </row>
    <row r="8911">
      <c r="A8911" t="inlineStr">
        <is>
          <t xml:space="preserve">machine </t>
        </is>
      </c>
      <c r="B8911">
        <f>VLOOKUP(986,Requirements!A2:B2967,2,FALSE)</f>
        <v/>
      </c>
    </row>
    <row r="8912">
      <c r="A8912" t="inlineStr">
        <is>
          <t xml:space="preserve">machine </t>
        </is>
      </c>
      <c r="B8912">
        <f>VLOOKUP(1002,Requirements!A2:B2967,2,FALSE)</f>
        <v/>
      </c>
    </row>
    <row r="8913">
      <c r="A8913" t="inlineStr">
        <is>
          <t xml:space="preserve">machine </t>
        </is>
      </c>
      <c r="B8913">
        <f>VLOOKUP(1408,Requirements!A2:B2967,2,FALSE)</f>
        <v/>
      </c>
    </row>
    <row r="8914">
      <c r="A8914" t="inlineStr">
        <is>
          <t xml:space="preserve">machine </t>
        </is>
      </c>
      <c r="B8914">
        <f>VLOOKUP(1567,Requirements!A2:B2967,2,FALSE)</f>
        <v/>
      </c>
    </row>
    <row r="8915">
      <c r="A8915" t="inlineStr">
        <is>
          <t xml:space="preserve">machine </t>
        </is>
      </c>
      <c r="B8915">
        <f>VLOOKUP(1847,Requirements!A2:B2967,2,FALSE)</f>
        <v/>
      </c>
    </row>
    <row r="8916">
      <c r="A8916" t="inlineStr">
        <is>
          <t xml:space="preserve">machine </t>
        </is>
      </c>
      <c r="B8916">
        <f>VLOOKUP(1900,Requirements!A2:B2967,2,FALSE)</f>
        <v/>
      </c>
    </row>
    <row r="8917">
      <c r="A8917" t="inlineStr">
        <is>
          <t xml:space="preserve">machine </t>
        </is>
      </c>
      <c r="B8917">
        <f>VLOOKUP(2030,Requirements!A2:B2967,2,FALSE)</f>
        <v/>
      </c>
    </row>
    <row r="8918">
      <c r="A8918" t="inlineStr">
        <is>
          <t xml:space="preserve">machine </t>
        </is>
      </c>
      <c r="B8918">
        <f>VLOOKUP(2129,Requirements!A2:B2967,2,FALSE)</f>
        <v/>
      </c>
    </row>
    <row r="8919">
      <c r="A8919" t="inlineStr">
        <is>
          <t xml:space="preserve">machine </t>
        </is>
      </c>
      <c r="B8919">
        <f>VLOOKUP(2270,Requirements!A2:B2967,2,FALSE)</f>
        <v/>
      </c>
    </row>
    <row r="8920">
      <c r="A8920" t="inlineStr">
        <is>
          <t xml:space="preserve">machine </t>
        </is>
      </c>
      <c r="B8920">
        <f>VLOOKUP(2286,Requirements!A2:B2967,2,FALSE)</f>
        <v/>
      </c>
    </row>
    <row r="8921">
      <c r="A8921" t="inlineStr">
        <is>
          <t xml:space="preserve">machine </t>
        </is>
      </c>
      <c r="B8921">
        <f>VLOOKUP(2456,Requirements!A2:B2967,2,FALSE)</f>
        <v/>
      </c>
    </row>
    <row r="8922">
      <c r="A8922" t="inlineStr">
        <is>
          <t xml:space="preserve">machine </t>
        </is>
      </c>
      <c r="B8922">
        <f>VLOOKUP(2575,Requirements!A2:B2967,2,FALSE)</f>
        <v/>
      </c>
    </row>
    <row r="8923">
      <c r="A8923" t="inlineStr">
        <is>
          <t xml:space="preserve">machine </t>
        </is>
      </c>
      <c r="B8923">
        <f>VLOOKUP(2673,Requirements!A2:B2967,2,FALSE)</f>
        <v/>
      </c>
    </row>
    <row r="8924">
      <c r="A8924" t="inlineStr">
        <is>
          <t xml:space="preserve">machine </t>
        </is>
      </c>
      <c r="B8924">
        <f>VLOOKUP(2740,Requirements!A2:B2967,2,FALSE)</f>
        <v/>
      </c>
    </row>
    <row r="8925">
      <c r="A8925" t="inlineStr">
        <is>
          <t xml:space="preserve">machine </t>
        </is>
      </c>
      <c r="B8925">
        <f>VLOOKUP(2826,Requirements!A2:B2967,2,FALSE)</f>
        <v/>
      </c>
    </row>
    <row r="8926">
      <c r="A8926" t="inlineStr">
        <is>
          <t xml:space="preserve">machine </t>
        </is>
      </c>
      <c r="B8926">
        <f>VLOOKUP(2900,Requirements!A2:B2967,2,FALSE)</f>
        <v/>
      </c>
    </row>
    <row r="8927">
      <c r="A8927" t="inlineStr">
        <is>
          <t xml:space="preserve">machine </t>
        </is>
      </c>
      <c r="B8927">
        <f>VLOOKUP(2932,Requirements!A2:B2967,2,FALSE)</f>
        <v/>
      </c>
    </row>
    <row r="8928">
      <c r="A8928" t="inlineStr">
        <is>
          <t xml:space="preserve">machine </t>
        </is>
      </c>
      <c r="B8928">
        <f>VLOOKUP(3065,Requirements!A2:B2967,2,FALSE)</f>
        <v/>
      </c>
    </row>
    <row r="8929">
      <c r="A8929" t="inlineStr">
        <is>
          <t xml:space="preserve">machine </t>
        </is>
      </c>
      <c r="B8929">
        <f>VLOOKUP(3099,Requirements!A2:B2967,2,FALSE)</f>
        <v/>
      </c>
    </row>
    <row r="8930">
      <c r="A8930" t="inlineStr">
        <is>
          <t xml:space="preserve">machine </t>
        </is>
      </c>
      <c r="B8930">
        <f>VLOOKUP(3120,Requirements!A2:B2967,2,FALSE)</f>
        <v/>
      </c>
    </row>
    <row r="8931">
      <c r="A8931" t="inlineStr">
        <is>
          <t xml:space="preserve">machine </t>
        </is>
      </c>
      <c r="B8931">
        <f>VLOOKUP(3135,Requirements!A2:B2967,2,FALSE)</f>
        <v/>
      </c>
    </row>
    <row r="8932">
      <c r="A8932" t="inlineStr">
        <is>
          <t xml:space="preserve">machine </t>
        </is>
      </c>
      <c r="B8932">
        <f>VLOOKUP(3176,Requirements!A2:B2967,2,FALSE)</f>
        <v/>
      </c>
    </row>
    <row r="8933">
      <c r="A8933" t="inlineStr">
        <is>
          <t xml:space="preserve">machine </t>
        </is>
      </c>
      <c r="B8933">
        <f>VLOOKUP(3198,Requirements!A2:B2967,2,FALSE)</f>
        <v/>
      </c>
    </row>
    <row r="8934">
      <c r="A8934" t="inlineStr">
        <is>
          <t xml:space="preserve">machine </t>
        </is>
      </c>
      <c r="B8934">
        <f>VLOOKUP(3203,Requirements!A2:B2967,2,FALSE)</f>
        <v/>
      </c>
    </row>
    <row r="8935">
      <c r="A8935" t="inlineStr">
        <is>
          <t xml:space="preserve">machine </t>
        </is>
      </c>
      <c r="B8935">
        <f>VLOOKUP(3207,Requirements!A2:B2967,2,FALSE)</f>
        <v/>
      </c>
    </row>
    <row r="8936">
      <c r="A8936" t="inlineStr">
        <is>
          <t xml:space="preserve">access </t>
        </is>
      </c>
      <c r="B8936">
        <f>VLOOKUP(237,Requirements!A2:B2967,2,FALSE)</f>
        <v/>
      </c>
    </row>
    <row r="8937">
      <c r="A8937" t="inlineStr">
        <is>
          <t xml:space="preserve">access </t>
        </is>
      </c>
      <c r="B8937">
        <f>VLOOKUP(238,Requirements!A2:B2967,2,FALSE)</f>
        <v/>
      </c>
    </row>
    <row r="8938">
      <c r="A8938" t="inlineStr">
        <is>
          <t xml:space="preserve">access </t>
        </is>
      </c>
      <c r="B8938">
        <f>VLOOKUP(330,Requirements!A2:B2967,2,FALSE)</f>
        <v/>
      </c>
    </row>
    <row r="8939">
      <c r="A8939" t="inlineStr">
        <is>
          <t xml:space="preserve">access </t>
        </is>
      </c>
      <c r="B8939">
        <f>VLOOKUP(447,Requirements!A2:B2967,2,FALSE)</f>
        <v/>
      </c>
    </row>
    <row r="8940">
      <c r="A8940" t="inlineStr">
        <is>
          <t xml:space="preserve">access </t>
        </is>
      </c>
      <c r="B8940">
        <f>VLOOKUP(654,Requirements!A2:B2967,2,FALSE)</f>
        <v/>
      </c>
    </row>
    <row r="8941">
      <c r="A8941" t="inlineStr">
        <is>
          <t xml:space="preserve">access </t>
        </is>
      </c>
      <c r="B8941">
        <f>VLOOKUP(740,Requirements!A2:B2967,2,FALSE)</f>
        <v/>
      </c>
    </row>
    <row r="8942">
      <c r="A8942" t="inlineStr">
        <is>
          <t xml:space="preserve">access </t>
        </is>
      </c>
      <c r="B8942">
        <f>VLOOKUP(764,Requirements!A2:B2967,2,FALSE)</f>
        <v/>
      </c>
    </row>
    <row r="8943">
      <c r="A8943" t="inlineStr">
        <is>
          <t xml:space="preserve">access </t>
        </is>
      </c>
      <c r="B8943">
        <f>VLOOKUP(799,Requirements!A2:B2967,2,FALSE)</f>
        <v/>
      </c>
    </row>
    <row r="8944">
      <c r="A8944" t="inlineStr">
        <is>
          <t xml:space="preserve">access </t>
        </is>
      </c>
      <c r="B8944">
        <f>VLOOKUP(1397,Requirements!A2:B2967,2,FALSE)</f>
        <v/>
      </c>
    </row>
    <row r="8945">
      <c r="A8945" t="inlineStr">
        <is>
          <t xml:space="preserve">access </t>
        </is>
      </c>
      <c r="B8945">
        <f>VLOOKUP(1418,Requirements!A2:B2967,2,FALSE)</f>
        <v/>
      </c>
    </row>
    <row r="8946">
      <c r="A8946" t="inlineStr">
        <is>
          <t xml:space="preserve">access </t>
        </is>
      </c>
      <c r="B8946">
        <f>VLOOKUP(1427,Requirements!A2:B2967,2,FALSE)</f>
        <v/>
      </c>
    </row>
    <row r="8947">
      <c r="A8947" t="inlineStr">
        <is>
          <t xml:space="preserve">access </t>
        </is>
      </c>
      <c r="B8947">
        <f>VLOOKUP(1472,Requirements!A2:B2967,2,FALSE)</f>
        <v/>
      </c>
    </row>
    <row r="8948">
      <c r="A8948" t="inlineStr">
        <is>
          <t xml:space="preserve">access </t>
        </is>
      </c>
      <c r="B8948">
        <f>VLOOKUP(1475,Requirements!A2:B2967,2,FALSE)</f>
        <v/>
      </c>
    </row>
    <row r="8949">
      <c r="A8949" t="inlineStr">
        <is>
          <t xml:space="preserve">access </t>
        </is>
      </c>
      <c r="B8949">
        <f>VLOOKUP(1593,Requirements!A2:B2967,2,FALSE)</f>
        <v/>
      </c>
    </row>
    <row r="8950">
      <c r="A8950" t="inlineStr">
        <is>
          <t xml:space="preserve">access </t>
        </is>
      </c>
      <c r="B8950">
        <f>VLOOKUP(1856,Requirements!A2:B2967,2,FALSE)</f>
        <v/>
      </c>
    </row>
    <row r="8951">
      <c r="A8951" t="inlineStr">
        <is>
          <t xml:space="preserve">access </t>
        </is>
      </c>
      <c r="B8951">
        <f>VLOOKUP(1889,Requirements!A2:B2967,2,FALSE)</f>
        <v/>
      </c>
    </row>
    <row r="8952">
      <c r="A8952" t="inlineStr">
        <is>
          <t xml:space="preserve">access </t>
        </is>
      </c>
      <c r="B8952">
        <f>VLOOKUP(1951,Requirements!A2:B2967,2,FALSE)</f>
        <v/>
      </c>
    </row>
    <row r="8953">
      <c r="A8953" t="inlineStr">
        <is>
          <t xml:space="preserve">access </t>
        </is>
      </c>
      <c r="B8953">
        <f>VLOOKUP(2000,Requirements!A2:B2967,2,FALSE)</f>
        <v/>
      </c>
    </row>
    <row r="8954">
      <c r="A8954" t="inlineStr">
        <is>
          <t xml:space="preserve">access </t>
        </is>
      </c>
      <c r="B8954">
        <f>VLOOKUP(2104,Requirements!A2:B2967,2,FALSE)</f>
        <v/>
      </c>
    </row>
    <row r="8955">
      <c r="A8955" t="inlineStr">
        <is>
          <t xml:space="preserve">access </t>
        </is>
      </c>
      <c r="B8955">
        <f>VLOOKUP(2246,Requirements!A2:B2967,2,FALSE)</f>
        <v/>
      </c>
    </row>
    <row r="8956">
      <c r="A8956" t="inlineStr">
        <is>
          <t xml:space="preserve">access </t>
        </is>
      </c>
      <c r="B8956">
        <f>VLOOKUP(2257,Requirements!A2:B2967,2,FALSE)</f>
        <v/>
      </c>
    </row>
    <row r="8957">
      <c r="A8957" t="inlineStr">
        <is>
          <t xml:space="preserve">access </t>
        </is>
      </c>
      <c r="B8957">
        <f>VLOOKUP(2283,Requirements!A2:B2967,2,FALSE)</f>
        <v/>
      </c>
    </row>
    <row r="8958">
      <c r="A8958" t="inlineStr">
        <is>
          <t xml:space="preserve">access </t>
        </is>
      </c>
      <c r="B8958">
        <f>VLOOKUP(2495,Requirements!A2:B2967,2,FALSE)</f>
        <v/>
      </c>
    </row>
    <row r="8959">
      <c r="A8959" t="inlineStr">
        <is>
          <t xml:space="preserve">access </t>
        </is>
      </c>
      <c r="B8959">
        <f>VLOOKUP(2660,Requirements!A2:B2967,2,FALSE)</f>
        <v/>
      </c>
    </row>
    <row r="8960">
      <c r="A8960" t="inlineStr">
        <is>
          <t xml:space="preserve">access </t>
        </is>
      </c>
      <c r="B8960">
        <f>VLOOKUP(2990,Requirements!A2:B2967,2,FALSE)</f>
        <v/>
      </c>
    </row>
    <row r="8961">
      <c r="A8961" t="inlineStr">
        <is>
          <t xml:space="preserve">eye </t>
        </is>
      </c>
      <c r="B8961">
        <f>VLOOKUP(238,Requirements!A2:B2967,2,FALSE)</f>
        <v/>
      </c>
    </row>
    <row r="8962">
      <c r="A8962" t="inlineStr">
        <is>
          <t xml:space="preserve">eye </t>
        </is>
      </c>
      <c r="B8962">
        <f>VLOOKUP(259,Requirements!A2:B2967,2,FALSE)</f>
        <v/>
      </c>
    </row>
    <row r="8963">
      <c r="A8963" t="inlineStr">
        <is>
          <t xml:space="preserve">eye </t>
        </is>
      </c>
      <c r="B8963">
        <f>VLOOKUP(555,Requirements!A2:B2967,2,FALSE)</f>
        <v/>
      </c>
    </row>
    <row r="8964">
      <c r="A8964" t="inlineStr">
        <is>
          <t xml:space="preserve">eye </t>
        </is>
      </c>
      <c r="B8964">
        <f>VLOOKUP(1031,Requirements!A2:B2967,2,FALSE)</f>
        <v/>
      </c>
    </row>
    <row r="8965">
      <c r="A8965" t="inlineStr">
        <is>
          <t xml:space="preserve">eye </t>
        </is>
      </c>
      <c r="B8965">
        <f>VLOOKUP(1775,Requirements!A2:B2967,2,FALSE)</f>
        <v/>
      </c>
    </row>
    <row r="8966">
      <c r="A8966" t="inlineStr">
        <is>
          <t xml:space="preserve">eye </t>
        </is>
      </c>
      <c r="B8966">
        <f>VLOOKUP(1862,Requirements!A2:B2967,2,FALSE)</f>
        <v/>
      </c>
    </row>
    <row r="8967">
      <c r="A8967" t="inlineStr">
        <is>
          <t xml:space="preserve">eye </t>
        </is>
      </c>
      <c r="B8967">
        <f>VLOOKUP(2354,Requirements!A2:B2967,2,FALSE)</f>
        <v/>
      </c>
    </row>
    <row r="8968">
      <c r="A8968" t="inlineStr">
        <is>
          <t xml:space="preserve">eye </t>
        </is>
      </c>
      <c r="B8968">
        <f>VLOOKUP(2495,Requirements!A2:B2967,2,FALSE)</f>
        <v/>
      </c>
    </row>
    <row r="8969">
      <c r="A8969" t="inlineStr">
        <is>
          <t xml:space="preserve">eye </t>
        </is>
      </c>
      <c r="B8969">
        <f>VLOOKUP(2701,Requirements!A2:B2967,2,FALSE)</f>
        <v/>
      </c>
    </row>
    <row r="8970">
      <c r="A8970" t="inlineStr">
        <is>
          <t xml:space="preserve">real time </t>
        </is>
      </c>
      <c r="B8970">
        <f>VLOOKUP(238,Requirements!A2:B2967,2,FALSE)</f>
        <v/>
      </c>
    </row>
    <row r="8971">
      <c r="A8971" t="inlineStr">
        <is>
          <t xml:space="preserve">real time </t>
        </is>
      </c>
      <c r="B8971">
        <f>VLOOKUP(423,Requirements!A2:B2967,2,FALSE)</f>
        <v/>
      </c>
    </row>
    <row r="8972">
      <c r="A8972" t="inlineStr">
        <is>
          <t xml:space="preserve">real time </t>
        </is>
      </c>
      <c r="B8972">
        <f>VLOOKUP(863,Requirements!A2:B2967,2,FALSE)</f>
        <v/>
      </c>
    </row>
    <row r="8973">
      <c r="A8973" t="inlineStr">
        <is>
          <t xml:space="preserve">real time </t>
        </is>
      </c>
      <c r="B8973">
        <f>VLOOKUP(2387,Requirements!A2:B2967,2,FALSE)</f>
        <v/>
      </c>
    </row>
    <row r="8974">
      <c r="A8974" t="inlineStr">
        <is>
          <t xml:space="preserve">real time </t>
        </is>
      </c>
      <c r="B8974">
        <f>VLOOKUP(2409,Requirements!A2:B2967,2,FALSE)</f>
        <v/>
      </c>
    </row>
    <row r="8975">
      <c r="A8975" t="inlineStr">
        <is>
          <t xml:space="preserve">track </t>
        </is>
      </c>
      <c r="B8975">
        <f>VLOOKUP(244,Requirements!A2:B2967,2,FALSE)</f>
        <v/>
      </c>
    </row>
    <row r="8976">
      <c r="A8976" t="inlineStr">
        <is>
          <t xml:space="preserve">track </t>
        </is>
      </c>
      <c r="B8976">
        <f>VLOOKUP(340,Requirements!A2:B2967,2,FALSE)</f>
        <v/>
      </c>
    </row>
    <row r="8977">
      <c r="A8977" t="inlineStr">
        <is>
          <t xml:space="preserve">track </t>
        </is>
      </c>
      <c r="B8977">
        <f>VLOOKUP(446,Requirements!A2:B2967,2,FALSE)</f>
        <v/>
      </c>
    </row>
    <row r="8978">
      <c r="A8978" t="inlineStr">
        <is>
          <t xml:space="preserve">track </t>
        </is>
      </c>
      <c r="B8978">
        <f>VLOOKUP(564,Requirements!A2:B2967,2,FALSE)</f>
        <v/>
      </c>
    </row>
    <row r="8979">
      <c r="A8979" t="inlineStr">
        <is>
          <t xml:space="preserve">track </t>
        </is>
      </c>
      <c r="B8979">
        <f>VLOOKUP(578,Requirements!A2:B2967,2,FALSE)</f>
        <v/>
      </c>
    </row>
    <row r="8980">
      <c r="A8980" t="inlineStr">
        <is>
          <t xml:space="preserve">track </t>
        </is>
      </c>
      <c r="B8980">
        <f>VLOOKUP(613,Requirements!A2:B2967,2,FALSE)</f>
        <v/>
      </c>
    </row>
    <row r="8981">
      <c r="A8981" t="inlineStr">
        <is>
          <t xml:space="preserve">track </t>
        </is>
      </c>
      <c r="B8981">
        <f>VLOOKUP(617,Requirements!A2:B2967,2,FALSE)</f>
        <v/>
      </c>
    </row>
    <row r="8982">
      <c r="A8982" t="inlineStr">
        <is>
          <t xml:space="preserve">track </t>
        </is>
      </c>
      <c r="B8982">
        <f>VLOOKUP(625,Requirements!A2:B2967,2,FALSE)</f>
        <v/>
      </c>
    </row>
    <row r="8983">
      <c r="A8983" t="inlineStr">
        <is>
          <t xml:space="preserve">track </t>
        </is>
      </c>
      <c r="B8983">
        <f>VLOOKUP(628,Requirements!A2:B2967,2,FALSE)</f>
        <v/>
      </c>
    </row>
    <row r="8984">
      <c r="A8984" t="inlineStr">
        <is>
          <t xml:space="preserve">track </t>
        </is>
      </c>
      <c r="B8984">
        <f>VLOOKUP(642,Requirements!A2:B2967,2,FALSE)</f>
        <v/>
      </c>
    </row>
    <row r="8985">
      <c r="A8985" t="inlineStr">
        <is>
          <t xml:space="preserve">track </t>
        </is>
      </c>
      <c r="B8985">
        <f>VLOOKUP(647,Requirements!A2:B2967,2,FALSE)</f>
        <v/>
      </c>
    </row>
    <row r="8986">
      <c r="A8986" t="inlineStr">
        <is>
          <t xml:space="preserve">track </t>
        </is>
      </c>
      <c r="B8986">
        <f>VLOOKUP(653,Requirements!A2:B2967,2,FALSE)</f>
        <v/>
      </c>
    </row>
    <row r="8987">
      <c r="A8987" t="inlineStr">
        <is>
          <t xml:space="preserve">track </t>
        </is>
      </c>
      <c r="B8987">
        <f>VLOOKUP(668,Requirements!A2:B2967,2,FALSE)</f>
        <v/>
      </c>
    </row>
    <row r="8988">
      <c r="A8988" t="inlineStr">
        <is>
          <t xml:space="preserve">track </t>
        </is>
      </c>
      <c r="B8988">
        <f>VLOOKUP(748,Requirements!A2:B2967,2,FALSE)</f>
        <v/>
      </c>
    </row>
    <row r="8989">
      <c r="A8989" t="inlineStr">
        <is>
          <t xml:space="preserve">track </t>
        </is>
      </c>
      <c r="B8989">
        <f>VLOOKUP(750,Requirements!A2:B2967,2,FALSE)</f>
        <v/>
      </c>
    </row>
    <row r="8990">
      <c r="A8990" t="inlineStr">
        <is>
          <t xml:space="preserve">track </t>
        </is>
      </c>
      <c r="B8990">
        <f>VLOOKUP(752,Requirements!A2:B2967,2,FALSE)</f>
        <v/>
      </c>
    </row>
    <row r="8991">
      <c r="A8991" t="inlineStr">
        <is>
          <t xml:space="preserve">track </t>
        </is>
      </c>
      <c r="B8991">
        <f>VLOOKUP(754,Requirements!A2:B2967,2,FALSE)</f>
        <v/>
      </c>
    </row>
    <row r="8992">
      <c r="A8992" t="inlineStr">
        <is>
          <t xml:space="preserve">track </t>
        </is>
      </c>
      <c r="B8992">
        <f>VLOOKUP(755,Requirements!A2:B2967,2,FALSE)</f>
        <v/>
      </c>
    </row>
    <row r="8993">
      <c r="A8993" t="inlineStr">
        <is>
          <t xml:space="preserve">track </t>
        </is>
      </c>
      <c r="B8993">
        <f>VLOOKUP(760,Requirements!A2:B2967,2,FALSE)</f>
        <v/>
      </c>
    </row>
    <row r="8994">
      <c r="A8994" t="inlineStr">
        <is>
          <t xml:space="preserve">track </t>
        </is>
      </c>
      <c r="B8994">
        <f>VLOOKUP(762,Requirements!A2:B2967,2,FALSE)</f>
        <v/>
      </c>
    </row>
    <row r="8995">
      <c r="A8995" t="inlineStr">
        <is>
          <t xml:space="preserve">track </t>
        </is>
      </c>
      <c r="B8995">
        <f>VLOOKUP(764,Requirements!A2:B2967,2,FALSE)</f>
        <v/>
      </c>
    </row>
    <row r="8996">
      <c r="A8996" t="inlineStr">
        <is>
          <t xml:space="preserve">track </t>
        </is>
      </c>
      <c r="B8996">
        <f>VLOOKUP(765,Requirements!A2:B2967,2,FALSE)</f>
        <v/>
      </c>
    </row>
    <row r="8997">
      <c r="A8997" t="inlineStr">
        <is>
          <t xml:space="preserve">track </t>
        </is>
      </c>
      <c r="B8997">
        <f>VLOOKUP(792,Requirements!A2:B2967,2,FALSE)</f>
        <v/>
      </c>
    </row>
    <row r="8998">
      <c r="A8998" t="inlineStr">
        <is>
          <t xml:space="preserve">track </t>
        </is>
      </c>
      <c r="B8998">
        <f>VLOOKUP(970,Requirements!A2:B2967,2,FALSE)</f>
        <v/>
      </c>
    </row>
    <row r="8999">
      <c r="A8999" t="inlineStr">
        <is>
          <t xml:space="preserve">track </t>
        </is>
      </c>
      <c r="B8999">
        <f>VLOOKUP(1059,Requirements!A2:B2967,2,FALSE)</f>
        <v/>
      </c>
    </row>
    <row r="9000">
      <c r="A9000" t="inlineStr">
        <is>
          <t xml:space="preserve">track </t>
        </is>
      </c>
      <c r="B9000">
        <f>VLOOKUP(1095,Requirements!A2:B2967,2,FALSE)</f>
        <v/>
      </c>
    </row>
    <row r="9001">
      <c r="A9001" t="inlineStr">
        <is>
          <t xml:space="preserve">track </t>
        </is>
      </c>
      <c r="B9001">
        <f>VLOOKUP(1122,Requirements!A2:B2967,2,FALSE)</f>
        <v/>
      </c>
    </row>
    <row r="9002">
      <c r="A9002" t="inlineStr">
        <is>
          <t xml:space="preserve">track </t>
        </is>
      </c>
      <c r="B9002">
        <f>VLOOKUP(1125,Requirements!A2:B2967,2,FALSE)</f>
        <v/>
      </c>
    </row>
    <row r="9003">
      <c r="A9003" t="inlineStr">
        <is>
          <t xml:space="preserve">track </t>
        </is>
      </c>
      <c r="B9003">
        <f>VLOOKUP(1206,Requirements!A2:B2967,2,FALSE)</f>
        <v/>
      </c>
    </row>
    <row r="9004">
      <c r="A9004" t="inlineStr">
        <is>
          <t xml:space="preserve">track </t>
        </is>
      </c>
      <c r="B9004">
        <f>VLOOKUP(1356,Requirements!A2:B2967,2,FALSE)</f>
        <v/>
      </c>
    </row>
    <row r="9005">
      <c r="A9005" t="inlineStr">
        <is>
          <t xml:space="preserve">track </t>
        </is>
      </c>
      <c r="B9005">
        <f>VLOOKUP(1358,Requirements!A2:B2967,2,FALSE)</f>
        <v/>
      </c>
    </row>
    <row r="9006">
      <c r="A9006" t="inlineStr">
        <is>
          <t xml:space="preserve">track </t>
        </is>
      </c>
      <c r="B9006">
        <f>VLOOKUP(1361,Requirements!A2:B2967,2,FALSE)</f>
        <v/>
      </c>
    </row>
    <row r="9007">
      <c r="A9007" t="inlineStr">
        <is>
          <t xml:space="preserve">track </t>
        </is>
      </c>
      <c r="B9007">
        <f>VLOOKUP(1362,Requirements!A2:B2967,2,FALSE)</f>
        <v/>
      </c>
    </row>
    <row r="9008">
      <c r="A9008" t="inlineStr">
        <is>
          <t xml:space="preserve">track </t>
        </is>
      </c>
      <c r="B9008">
        <f>VLOOKUP(1363,Requirements!A2:B2967,2,FALSE)</f>
        <v/>
      </c>
    </row>
    <row r="9009">
      <c r="A9009" t="inlineStr">
        <is>
          <t xml:space="preserve">track </t>
        </is>
      </c>
      <c r="B9009">
        <f>VLOOKUP(1365,Requirements!A2:B2967,2,FALSE)</f>
        <v/>
      </c>
    </row>
    <row r="9010">
      <c r="A9010" t="inlineStr">
        <is>
          <t xml:space="preserve">track </t>
        </is>
      </c>
      <c r="B9010">
        <f>VLOOKUP(1378,Requirements!A2:B2967,2,FALSE)</f>
        <v/>
      </c>
    </row>
    <row r="9011">
      <c r="A9011" t="inlineStr">
        <is>
          <t xml:space="preserve">track </t>
        </is>
      </c>
      <c r="B9011">
        <f>VLOOKUP(1390,Requirements!A2:B2967,2,FALSE)</f>
        <v/>
      </c>
    </row>
    <row r="9012">
      <c r="A9012" t="inlineStr">
        <is>
          <t xml:space="preserve">track </t>
        </is>
      </c>
      <c r="B9012">
        <f>VLOOKUP(1392,Requirements!A2:B2967,2,FALSE)</f>
        <v/>
      </c>
    </row>
    <row r="9013">
      <c r="A9013" t="inlineStr">
        <is>
          <t xml:space="preserve">track </t>
        </is>
      </c>
      <c r="B9013">
        <f>VLOOKUP(1396,Requirements!A2:B2967,2,FALSE)</f>
        <v/>
      </c>
    </row>
    <row r="9014">
      <c r="A9014" t="inlineStr">
        <is>
          <t xml:space="preserve">track </t>
        </is>
      </c>
      <c r="B9014">
        <f>VLOOKUP(1414,Requirements!A2:B2967,2,FALSE)</f>
        <v/>
      </c>
    </row>
    <row r="9015">
      <c r="A9015" t="inlineStr">
        <is>
          <t xml:space="preserve">track </t>
        </is>
      </c>
      <c r="B9015">
        <f>VLOOKUP(1418,Requirements!A2:B2967,2,FALSE)</f>
        <v/>
      </c>
    </row>
    <row r="9016">
      <c r="A9016" t="inlineStr">
        <is>
          <t xml:space="preserve">track </t>
        </is>
      </c>
      <c r="B9016">
        <f>VLOOKUP(1430,Requirements!A2:B2967,2,FALSE)</f>
        <v/>
      </c>
    </row>
    <row r="9017">
      <c r="A9017" t="inlineStr">
        <is>
          <t xml:space="preserve">track </t>
        </is>
      </c>
      <c r="B9017">
        <f>VLOOKUP(1488,Requirements!A2:B2967,2,FALSE)</f>
        <v/>
      </c>
    </row>
    <row r="9018">
      <c r="A9018" t="inlineStr">
        <is>
          <t xml:space="preserve">track </t>
        </is>
      </c>
      <c r="B9018">
        <f>VLOOKUP(1511,Requirements!A2:B2967,2,FALSE)</f>
        <v/>
      </c>
    </row>
    <row r="9019">
      <c r="A9019" t="inlineStr">
        <is>
          <t xml:space="preserve">track </t>
        </is>
      </c>
      <c r="B9019">
        <f>VLOOKUP(1553,Requirements!A2:B2967,2,FALSE)</f>
        <v/>
      </c>
    </row>
    <row r="9020">
      <c r="A9020" t="inlineStr">
        <is>
          <t xml:space="preserve">track </t>
        </is>
      </c>
      <c r="B9020">
        <f>VLOOKUP(1585,Requirements!A2:B2967,2,FALSE)</f>
        <v/>
      </c>
    </row>
    <row r="9021">
      <c r="A9021" t="inlineStr">
        <is>
          <t xml:space="preserve">track </t>
        </is>
      </c>
      <c r="B9021">
        <f>VLOOKUP(1759,Requirements!A2:B2967,2,FALSE)</f>
        <v/>
      </c>
    </row>
    <row r="9022">
      <c r="A9022" t="inlineStr">
        <is>
          <t xml:space="preserve">track </t>
        </is>
      </c>
      <c r="B9022">
        <f>VLOOKUP(1773,Requirements!A2:B2967,2,FALSE)</f>
        <v/>
      </c>
    </row>
    <row r="9023">
      <c r="A9023" t="inlineStr">
        <is>
          <t xml:space="preserve">track </t>
        </is>
      </c>
      <c r="B9023">
        <f>VLOOKUP(1804,Requirements!A2:B2967,2,FALSE)</f>
        <v/>
      </c>
    </row>
    <row r="9024">
      <c r="A9024" t="inlineStr">
        <is>
          <t xml:space="preserve">track </t>
        </is>
      </c>
      <c r="B9024">
        <f>VLOOKUP(1871,Requirements!A2:B2967,2,FALSE)</f>
        <v/>
      </c>
    </row>
    <row r="9025">
      <c r="A9025" t="inlineStr">
        <is>
          <t xml:space="preserve">track </t>
        </is>
      </c>
      <c r="B9025">
        <f>VLOOKUP(1908,Requirements!A2:B2967,2,FALSE)</f>
        <v/>
      </c>
    </row>
    <row r="9026">
      <c r="A9026" t="inlineStr">
        <is>
          <t xml:space="preserve">track </t>
        </is>
      </c>
      <c r="B9026">
        <f>VLOOKUP(1916,Requirements!A2:B2967,2,FALSE)</f>
        <v/>
      </c>
    </row>
    <row r="9027">
      <c r="A9027" t="inlineStr">
        <is>
          <t xml:space="preserve">track </t>
        </is>
      </c>
      <c r="B9027">
        <f>VLOOKUP(2250,Requirements!A2:B2967,2,FALSE)</f>
        <v/>
      </c>
    </row>
    <row r="9028">
      <c r="A9028" t="inlineStr">
        <is>
          <t xml:space="preserve">track </t>
        </is>
      </c>
      <c r="B9028">
        <f>VLOOKUP(2261,Requirements!A2:B2967,2,FALSE)</f>
        <v/>
      </c>
    </row>
    <row r="9029">
      <c r="A9029" t="inlineStr">
        <is>
          <t xml:space="preserve">track </t>
        </is>
      </c>
      <c r="B9029">
        <f>VLOOKUP(2332,Requirements!A2:B2967,2,FALSE)</f>
        <v/>
      </c>
    </row>
    <row r="9030">
      <c r="A9030" t="inlineStr">
        <is>
          <t xml:space="preserve">track </t>
        </is>
      </c>
      <c r="B9030">
        <f>VLOOKUP(2430,Requirements!A2:B2967,2,FALSE)</f>
        <v/>
      </c>
    </row>
    <row r="9031">
      <c r="A9031" t="inlineStr">
        <is>
          <t xml:space="preserve">track </t>
        </is>
      </c>
      <c r="B9031">
        <f>VLOOKUP(2490,Requirements!A2:B2967,2,FALSE)</f>
        <v/>
      </c>
    </row>
    <row r="9032">
      <c r="A9032" t="inlineStr">
        <is>
          <t xml:space="preserve">track </t>
        </is>
      </c>
      <c r="B9032">
        <f>VLOOKUP(2738,Requirements!A2:B2967,2,FALSE)</f>
        <v/>
      </c>
    </row>
    <row r="9033">
      <c r="A9033" t="inlineStr">
        <is>
          <t xml:space="preserve">track </t>
        </is>
      </c>
      <c r="B9033">
        <f>VLOOKUP(2756,Requirements!A2:B2967,2,FALSE)</f>
        <v/>
      </c>
    </row>
    <row r="9034">
      <c r="A9034" t="inlineStr">
        <is>
          <t xml:space="preserve">track </t>
        </is>
      </c>
      <c r="B9034">
        <f>VLOOKUP(2808,Requirements!A2:B2967,2,FALSE)</f>
        <v/>
      </c>
    </row>
    <row r="9035">
      <c r="A9035" t="inlineStr">
        <is>
          <t xml:space="preserve">track </t>
        </is>
      </c>
      <c r="B9035">
        <f>VLOOKUP(2871,Requirements!A2:B2967,2,FALSE)</f>
        <v/>
      </c>
    </row>
    <row r="9036">
      <c r="A9036" t="inlineStr">
        <is>
          <t xml:space="preserve">track </t>
        </is>
      </c>
      <c r="B9036">
        <f>VLOOKUP(2879,Requirements!A2:B2967,2,FALSE)</f>
        <v/>
      </c>
    </row>
    <row r="9037">
      <c r="A9037" t="inlineStr">
        <is>
          <t xml:space="preserve">track </t>
        </is>
      </c>
      <c r="B9037">
        <f>VLOOKUP(2924,Requirements!A2:B2967,2,FALSE)</f>
        <v/>
      </c>
    </row>
    <row r="9038">
      <c r="A9038" t="inlineStr">
        <is>
          <t xml:space="preserve">track </t>
        </is>
      </c>
      <c r="B9038">
        <f>VLOOKUP(2941,Requirements!A2:B2967,2,FALSE)</f>
        <v/>
      </c>
    </row>
    <row r="9039">
      <c r="A9039" t="inlineStr">
        <is>
          <t xml:space="preserve">track </t>
        </is>
      </c>
      <c r="B9039">
        <f>VLOOKUP(3006,Requirements!A2:B2967,2,FALSE)</f>
        <v/>
      </c>
    </row>
    <row r="9040">
      <c r="A9040" t="inlineStr">
        <is>
          <t xml:space="preserve">track </t>
        </is>
      </c>
      <c r="B9040">
        <f>VLOOKUP(3042,Requirements!A2:B2967,2,FALSE)</f>
        <v/>
      </c>
    </row>
    <row r="9041">
      <c r="A9041" t="inlineStr">
        <is>
          <t xml:space="preserve">track </t>
        </is>
      </c>
      <c r="B9041">
        <f>VLOOKUP(3044,Requirements!A2:B2967,2,FALSE)</f>
        <v/>
      </c>
    </row>
    <row r="9042">
      <c r="A9042" t="inlineStr">
        <is>
          <t xml:space="preserve">track </t>
        </is>
      </c>
      <c r="B9042">
        <f>VLOOKUP(3134,Requirements!A2:B2967,2,FALSE)</f>
        <v/>
      </c>
    </row>
    <row r="9043">
      <c r="A9043" t="inlineStr">
        <is>
          <t xml:space="preserve">track </t>
        </is>
      </c>
      <c r="B9043">
        <f>VLOOKUP(3203,Requirements!A2:B2967,2,FALSE)</f>
        <v/>
      </c>
    </row>
    <row r="9044">
      <c r="A9044" t="inlineStr">
        <is>
          <t xml:space="preserve">track </t>
        </is>
      </c>
      <c r="B9044">
        <f>VLOOKUP(3240,Requirements!A2:B2967,2,FALSE)</f>
        <v/>
      </c>
    </row>
    <row r="9045">
      <c r="A9045" t="inlineStr">
        <is>
          <t xml:space="preserve">track </t>
        </is>
      </c>
      <c r="B9045">
        <f>VLOOKUP(3242,Requirements!A2:B2967,2,FALSE)</f>
        <v/>
      </c>
    </row>
    <row r="9046">
      <c r="A9046" t="inlineStr">
        <is>
          <t xml:space="preserve">front door </t>
        </is>
      </c>
      <c r="B9046">
        <f>VLOOKUP(249,Requirements!A2:B2967,2,FALSE)</f>
        <v/>
      </c>
    </row>
    <row r="9047">
      <c r="A9047" t="inlineStr">
        <is>
          <t xml:space="preserve">front door </t>
        </is>
      </c>
      <c r="B9047">
        <f>VLOOKUP(331,Requirements!A2:B2967,2,FALSE)</f>
        <v/>
      </c>
    </row>
    <row r="9048">
      <c r="A9048" t="inlineStr">
        <is>
          <t xml:space="preserve">front door </t>
        </is>
      </c>
      <c r="B9048">
        <f>VLOOKUP(415,Requirements!A2:B2967,2,FALSE)</f>
        <v/>
      </c>
    </row>
    <row r="9049">
      <c r="A9049" t="inlineStr">
        <is>
          <t xml:space="preserve">front door </t>
        </is>
      </c>
      <c r="B9049">
        <f>VLOOKUP(430,Requirements!A2:B2967,2,FALSE)</f>
        <v/>
      </c>
    </row>
    <row r="9050">
      <c r="A9050" t="inlineStr">
        <is>
          <t xml:space="preserve">front door </t>
        </is>
      </c>
      <c r="B9050">
        <f>VLOOKUP(731,Requirements!A2:B2967,2,FALSE)</f>
        <v/>
      </c>
    </row>
    <row r="9051">
      <c r="A9051" t="inlineStr">
        <is>
          <t xml:space="preserve">front door </t>
        </is>
      </c>
      <c r="B9051">
        <f>VLOOKUP(772,Requirements!A2:B2967,2,FALSE)</f>
        <v/>
      </c>
    </row>
    <row r="9052">
      <c r="A9052" t="inlineStr">
        <is>
          <t xml:space="preserve">front door </t>
        </is>
      </c>
      <c r="B9052">
        <f>VLOOKUP(889,Requirements!A2:B2967,2,FALSE)</f>
        <v/>
      </c>
    </row>
    <row r="9053">
      <c r="A9053" t="inlineStr">
        <is>
          <t xml:space="preserve">front door </t>
        </is>
      </c>
      <c r="B9053">
        <f>VLOOKUP(931,Requirements!A2:B2967,2,FALSE)</f>
        <v/>
      </c>
    </row>
    <row r="9054">
      <c r="A9054" t="inlineStr">
        <is>
          <t xml:space="preserve">front door </t>
        </is>
      </c>
      <c r="B9054">
        <f>VLOOKUP(1147,Requirements!A2:B2967,2,FALSE)</f>
        <v/>
      </c>
    </row>
    <row r="9055">
      <c r="A9055" t="inlineStr">
        <is>
          <t xml:space="preserve">front door </t>
        </is>
      </c>
      <c r="B9055">
        <f>VLOOKUP(1287,Requirements!A2:B2967,2,FALSE)</f>
        <v/>
      </c>
    </row>
    <row r="9056">
      <c r="A9056" t="inlineStr">
        <is>
          <t xml:space="preserve">front door </t>
        </is>
      </c>
      <c r="B9056">
        <f>VLOOKUP(1364,Requirements!A2:B2967,2,FALSE)</f>
        <v/>
      </c>
    </row>
    <row r="9057">
      <c r="A9057" t="inlineStr">
        <is>
          <t xml:space="preserve">front door </t>
        </is>
      </c>
      <c r="B9057">
        <f>VLOOKUP(1486,Requirements!A2:B2967,2,FALSE)</f>
        <v/>
      </c>
    </row>
    <row r="9058">
      <c r="A9058" t="inlineStr">
        <is>
          <t xml:space="preserve">front door </t>
        </is>
      </c>
      <c r="B9058">
        <f>VLOOKUP(1617,Requirements!A2:B2967,2,FALSE)</f>
        <v/>
      </c>
    </row>
    <row r="9059">
      <c r="A9059" t="inlineStr">
        <is>
          <t xml:space="preserve">front door </t>
        </is>
      </c>
      <c r="B9059">
        <f>VLOOKUP(1649,Requirements!A2:B2967,2,FALSE)</f>
        <v/>
      </c>
    </row>
    <row r="9060">
      <c r="A9060" t="inlineStr">
        <is>
          <t xml:space="preserve">front door </t>
        </is>
      </c>
      <c r="B9060">
        <f>VLOOKUP(1763,Requirements!A2:B2967,2,FALSE)</f>
        <v/>
      </c>
    </row>
    <row r="9061">
      <c r="A9061" t="inlineStr">
        <is>
          <t xml:space="preserve">front door </t>
        </is>
      </c>
      <c r="B9061">
        <f>VLOOKUP(1839,Requirements!A2:B2967,2,FALSE)</f>
        <v/>
      </c>
    </row>
    <row r="9062">
      <c r="A9062" t="inlineStr">
        <is>
          <t xml:space="preserve">front door </t>
        </is>
      </c>
      <c r="B9062">
        <f>VLOOKUP(1898,Requirements!A2:B2967,2,FALSE)</f>
        <v/>
      </c>
    </row>
    <row r="9063">
      <c r="A9063" t="inlineStr">
        <is>
          <t xml:space="preserve">front door </t>
        </is>
      </c>
      <c r="B9063">
        <f>VLOOKUP(2109,Requirements!A2:B2967,2,FALSE)</f>
        <v/>
      </c>
    </row>
    <row r="9064">
      <c r="A9064" t="inlineStr">
        <is>
          <t xml:space="preserve">front door </t>
        </is>
      </c>
      <c r="B9064">
        <f>VLOOKUP(2208,Requirements!A2:B2967,2,FALSE)</f>
        <v/>
      </c>
    </row>
    <row r="9065">
      <c r="A9065" t="inlineStr">
        <is>
          <t xml:space="preserve">front door </t>
        </is>
      </c>
      <c r="B9065">
        <f>VLOOKUP(2346,Requirements!A2:B2967,2,FALSE)</f>
        <v/>
      </c>
    </row>
    <row r="9066">
      <c r="A9066" t="inlineStr">
        <is>
          <t xml:space="preserve">front door </t>
        </is>
      </c>
      <c r="B9066">
        <f>VLOOKUP(2355,Requirements!A2:B2967,2,FALSE)</f>
        <v/>
      </c>
    </row>
    <row r="9067">
      <c r="A9067" t="inlineStr">
        <is>
          <t xml:space="preserve">front door </t>
        </is>
      </c>
      <c r="B9067">
        <f>VLOOKUP(2606,Requirements!A2:B2967,2,FALSE)</f>
        <v/>
      </c>
    </row>
    <row r="9068">
      <c r="A9068" t="inlineStr">
        <is>
          <t xml:space="preserve">front door </t>
        </is>
      </c>
      <c r="B9068">
        <f>VLOOKUP(2747,Requirements!A2:B2967,2,FALSE)</f>
        <v/>
      </c>
    </row>
    <row r="9069">
      <c r="A9069" t="inlineStr">
        <is>
          <t xml:space="preserve">front door </t>
        </is>
      </c>
      <c r="B9069">
        <f>VLOOKUP(2856,Requirements!A2:B2967,2,FALSE)</f>
        <v/>
      </c>
    </row>
    <row r="9070">
      <c r="A9070" t="inlineStr">
        <is>
          <t xml:space="preserve">front door </t>
        </is>
      </c>
      <c r="B9070">
        <f>VLOOKUP(3055,Requirements!A2:B2967,2,FALSE)</f>
        <v/>
      </c>
    </row>
    <row r="9071">
      <c r="A9071" t="inlineStr">
        <is>
          <t xml:space="preserve">front door </t>
        </is>
      </c>
      <c r="B9071">
        <f>VLOOKUP(3101,Requirements!A2:B2967,2,FALSE)</f>
        <v/>
      </c>
    </row>
    <row r="9072">
      <c r="A9072" t="inlineStr">
        <is>
          <t xml:space="preserve">front door </t>
        </is>
      </c>
      <c r="B9072">
        <f>VLOOKUP(3182,Requirements!A2:B2967,2,FALSE)</f>
        <v/>
      </c>
    </row>
    <row r="9073">
      <c r="A9073" t="inlineStr">
        <is>
          <t xml:space="preserve">mobile </t>
        </is>
      </c>
      <c r="B9073">
        <f>VLOOKUP(253,Requirements!A2:B2967,2,FALSE)</f>
        <v/>
      </c>
    </row>
    <row r="9074">
      <c r="A9074" t="inlineStr">
        <is>
          <t xml:space="preserve">mobile </t>
        </is>
      </c>
      <c r="B9074">
        <f>VLOOKUP(846,Requirements!A2:B2967,2,FALSE)</f>
        <v/>
      </c>
    </row>
    <row r="9075">
      <c r="A9075" t="inlineStr">
        <is>
          <t xml:space="preserve">mobile </t>
        </is>
      </c>
      <c r="B9075">
        <f>VLOOKUP(861,Requirements!A2:B2967,2,FALSE)</f>
        <v/>
      </c>
    </row>
    <row r="9076">
      <c r="A9076" t="inlineStr">
        <is>
          <t xml:space="preserve">mobile </t>
        </is>
      </c>
      <c r="B9076">
        <f>VLOOKUP(896,Requirements!A2:B2967,2,FALSE)</f>
        <v/>
      </c>
    </row>
    <row r="9077">
      <c r="A9077" t="inlineStr">
        <is>
          <t xml:space="preserve">mobile </t>
        </is>
      </c>
      <c r="B9077">
        <f>VLOOKUP(1126,Requirements!A2:B2967,2,FALSE)</f>
        <v/>
      </c>
    </row>
    <row r="9078">
      <c r="A9078" t="inlineStr">
        <is>
          <t xml:space="preserve">mobile </t>
        </is>
      </c>
      <c r="B9078">
        <f>VLOOKUP(1278,Requirements!A2:B2967,2,FALSE)</f>
        <v/>
      </c>
    </row>
    <row r="9079">
      <c r="A9079" t="inlineStr">
        <is>
          <t xml:space="preserve">mobile </t>
        </is>
      </c>
      <c r="B9079">
        <f>VLOOKUP(1809,Requirements!A2:B2967,2,FALSE)</f>
        <v/>
      </c>
    </row>
    <row r="9080">
      <c r="A9080" t="inlineStr">
        <is>
          <t xml:space="preserve">mobile </t>
        </is>
      </c>
      <c r="B9080">
        <f>VLOOKUP(1813,Requirements!A2:B2967,2,FALSE)</f>
        <v/>
      </c>
    </row>
    <row r="9081">
      <c r="A9081" t="inlineStr">
        <is>
          <t xml:space="preserve">mobile </t>
        </is>
      </c>
      <c r="B9081">
        <f>VLOOKUP(2505,Requirements!A2:B2967,2,FALSE)</f>
        <v/>
      </c>
    </row>
    <row r="9082">
      <c r="A9082" t="inlineStr">
        <is>
          <t xml:space="preserve">evening </t>
        </is>
      </c>
      <c r="B9082">
        <f>VLOOKUP(255,Requirements!A2:B2967,2,FALSE)</f>
        <v/>
      </c>
    </row>
    <row r="9083">
      <c r="A9083" t="inlineStr">
        <is>
          <t xml:space="preserve">evening </t>
        </is>
      </c>
      <c r="B9083">
        <f>VLOOKUP(317,Requirements!A2:B2967,2,FALSE)</f>
        <v/>
      </c>
    </row>
    <row r="9084">
      <c r="A9084" t="inlineStr">
        <is>
          <t xml:space="preserve">evening </t>
        </is>
      </c>
      <c r="B9084">
        <f>VLOOKUP(710,Requirements!A2:B2967,2,FALSE)</f>
        <v/>
      </c>
    </row>
    <row r="9085">
      <c r="A9085" t="inlineStr">
        <is>
          <t xml:space="preserve">evening </t>
        </is>
      </c>
      <c r="B9085">
        <f>VLOOKUP(935,Requirements!A2:B2967,2,FALSE)</f>
        <v/>
      </c>
    </row>
    <row r="9086">
      <c r="A9086" t="inlineStr">
        <is>
          <t xml:space="preserve">evening </t>
        </is>
      </c>
      <c r="B9086">
        <f>VLOOKUP(2158,Requirements!A2:B2967,2,FALSE)</f>
        <v/>
      </c>
    </row>
    <row r="9087">
      <c r="A9087" t="inlineStr">
        <is>
          <t xml:space="preserve">evening </t>
        </is>
      </c>
      <c r="B9087">
        <f>VLOOKUP(2918,Requirements!A2:B2967,2,FALSE)</f>
        <v/>
      </c>
    </row>
    <row r="9088">
      <c r="A9088" t="inlineStr">
        <is>
          <t xml:space="preserve">specific time </t>
        </is>
      </c>
      <c r="B9088">
        <f>VLOOKUP(256,Requirements!A2:B2967,2,FALSE)</f>
        <v/>
      </c>
    </row>
    <row r="9089">
      <c r="A9089" t="inlineStr">
        <is>
          <t xml:space="preserve">specific time </t>
        </is>
      </c>
      <c r="B9089">
        <f>VLOOKUP(282,Requirements!A2:B2967,2,FALSE)</f>
        <v/>
      </c>
    </row>
    <row r="9090">
      <c r="A9090" t="inlineStr">
        <is>
          <t xml:space="preserve">specific time </t>
        </is>
      </c>
      <c r="B9090">
        <f>VLOOKUP(291,Requirements!A2:B2967,2,FALSE)</f>
        <v/>
      </c>
    </row>
    <row r="9091">
      <c r="A9091" t="inlineStr">
        <is>
          <t xml:space="preserve">specific time </t>
        </is>
      </c>
      <c r="B9091">
        <f>VLOOKUP(337,Requirements!A2:B2967,2,FALSE)</f>
        <v/>
      </c>
    </row>
    <row r="9092">
      <c r="A9092" t="inlineStr">
        <is>
          <t xml:space="preserve">specific time </t>
        </is>
      </c>
      <c r="B9092">
        <f>VLOOKUP(650,Requirements!A2:B2967,2,FALSE)</f>
        <v/>
      </c>
    </row>
    <row r="9093">
      <c r="A9093" t="inlineStr">
        <is>
          <t xml:space="preserve">specific time </t>
        </is>
      </c>
      <c r="B9093">
        <f>VLOOKUP(747,Requirements!A2:B2967,2,FALSE)</f>
        <v/>
      </c>
    </row>
    <row r="9094">
      <c r="A9094" t="inlineStr">
        <is>
          <t xml:space="preserve">specific time </t>
        </is>
      </c>
      <c r="B9094">
        <f>VLOOKUP(782,Requirements!A2:B2967,2,FALSE)</f>
        <v/>
      </c>
    </row>
    <row r="9095">
      <c r="A9095" t="inlineStr">
        <is>
          <t xml:space="preserve">specific time </t>
        </is>
      </c>
      <c r="B9095">
        <f>VLOOKUP(1142,Requirements!A2:B2967,2,FALSE)</f>
        <v/>
      </c>
    </row>
    <row r="9096">
      <c r="A9096" t="inlineStr">
        <is>
          <t xml:space="preserve">specific time </t>
        </is>
      </c>
      <c r="B9096">
        <f>VLOOKUP(1193,Requirements!A2:B2967,2,FALSE)</f>
        <v/>
      </c>
    </row>
    <row r="9097">
      <c r="A9097" t="inlineStr">
        <is>
          <t xml:space="preserve">specific time </t>
        </is>
      </c>
      <c r="B9097">
        <f>VLOOKUP(1305,Requirements!A2:B2967,2,FALSE)</f>
        <v/>
      </c>
    </row>
    <row r="9098">
      <c r="A9098" t="inlineStr">
        <is>
          <t xml:space="preserve">specific time </t>
        </is>
      </c>
      <c r="B9098">
        <f>VLOOKUP(1592,Requirements!A2:B2967,2,FALSE)</f>
        <v/>
      </c>
    </row>
    <row r="9099">
      <c r="A9099" t="inlineStr">
        <is>
          <t xml:space="preserve">assistant </t>
        </is>
      </c>
      <c r="B9099">
        <f>VLOOKUP(263,Requirements!A2:B2967,2,FALSE)</f>
        <v/>
      </c>
    </row>
    <row r="9100">
      <c r="A9100" t="inlineStr">
        <is>
          <t xml:space="preserve">assistant </t>
        </is>
      </c>
      <c r="B9100">
        <f>VLOOKUP(267,Requirements!A2:B2967,2,FALSE)</f>
        <v/>
      </c>
    </row>
    <row r="9101">
      <c r="A9101" t="inlineStr">
        <is>
          <t xml:space="preserve">assistant </t>
        </is>
      </c>
      <c r="B9101">
        <f>VLOOKUP(436,Requirements!A2:B2967,2,FALSE)</f>
        <v/>
      </c>
    </row>
    <row r="9102">
      <c r="A9102" t="inlineStr">
        <is>
          <t xml:space="preserve">assistant </t>
        </is>
      </c>
      <c r="B9102">
        <f>VLOOKUP(714,Requirements!A2:B2967,2,FALSE)</f>
        <v/>
      </c>
    </row>
    <row r="9103">
      <c r="A9103" t="inlineStr">
        <is>
          <t xml:space="preserve">assistant </t>
        </is>
      </c>
      <c r="B9103">
        <f>VLOOKUP(903,Requirements!A2:B2967,2,FALSE)</f>
        <v/>
      </c>
    </row>
    <row r="9104">
      <c r="A9104" t="inlineStr">
        <is>
          <t xml:space="preserve">assistant </t>
        </is>
      </c>
      <c r="B9104">
        <f>VLOOKUP(1231,Requirements!A2:B2967,2,FALSE)</f>
        <v/>
      </c>
    </row>
    <row r="9105">
      <c r="A9105" t="inlineStr">
        <is>
          <t xml:space="preserve">assistant </t>
        </is>
      </c>
      <c r="B9105">
        <f>VLOOKUP(3202,Requirements!A2:B2967,2,FALSE)</f>
        <v/>
      </c>
    </row>
    <row r="9106">
      <c r="A9106" t="inlineStr">
        <is>
          <t xml:space="preserve">cleaner </t>
        </is>
      </c>
      <c r="B9106">
        <f>VLOOKUP(264,Requirements!A2:B2967,2,FALSE)</f>
        <v/>
      </c>
    </row>
    <row r="9107">
      <c r="A9107" t="inlineStr">
        <is>
          <t xml:space="preserve">cleaner </t>
        </is>
      </c>
      <c r="B9107">
        <f>VLOOKUP(546,Requirements!A2:B2967,2,FALSE)</f>
        <v/>
      </c>
    </row>
    <row r="9108">
      <c r="A9108" t="inlineStr">
        <is>
          <t xml:space="preserve">cleaner </t>
        </is>
      </c>
      <c r="B9108">
        <f>VLOOKUP(988,Requirements!A2:B2967,2,FALSE)</f>
        <v/>
      </c>
    </row>
    <row r="9109">
      <c r="A9109" t="inlineStr">
        <is>
          <t xml:space="preserve">cleaner </t>
        </is>
      </c>
      <c r="B9109">
        <f>VLOOKUP(1152,Requirements!A2:B2967,2,FALSE)</f>
        <v/>
      </c>
    </row>
    <row r="9110">
      <c r="A9110" t="inlineStr">
        <is>
          <t xml:space="preserve">cleaner </t>
        </is>
      </c>
      <c r="B9110">
        <f>VLOOKUP(1569,Requirements!A2:B2967,2,FALSE)</f>
        <v/>
      </c>
    </row>
    <row r="9111">
      <c r="A9111" t="inlineStr">
        <is>
          <t xml:space="preserve">cleaner </t>
        </is>
      </c>
      <c r="B9111">
        <f>VLOOKUP(3178,Requirements!A2:B2967,2,FALSE)</f>
        <v/>
      </c>
    </row>
    <row r="9112">
      <c r="A9112" t="inlineStr">
        <is>
          <t xml:space="preserve">cleaner </t>
        </is>
      </c>
      <c r="B9112">
        <f>VLOOKUP(3230,Requirements!A2:B2967,2,FALSE)</f>
        <v/>
      </c>
    </row>
    <row r="9113">
      <c r="A9113" t="inlineStr">
        <is>
          <t xml:space="preserve">full </t>
        </is>
      </c>
      <c r="B9113">
        <f>VLOOKUP(265,Requirements!A2:B2967,2,FALSE)</f>
        <v/>
      </c>
    </row>
    <row r="9114">
      <c r="A9114" t="inlineStr">
        <is>
          <t xml:space="preserve">full </t>
        </is>
      </c>
      <c r="B9114">
        <f>VLOOKUP(473,Requirements!A2:B2967,2,FALSE)</f>
        <v/>
      </c>
    </row>
    <row r="9115">
      <c r="A9115" t="inlineStr">
        <is>
          <t xml:space="preserve">full </t>
        </is>
      </c>
      <c r="B9115">
        <f>VLOOKUP(474,Requirements!A2:B2967,2,FALSE)</f>
        <v/>
      </c>
    </row>
    <row r="9116">
      <c r="A9116" t="inlineStr">
        <is>
          <t xml:space="preserve">full </t>
        </is>
      </c>
      <c r="B9116">
        <f>VLOOKUP(537,Requirements!A2:B2967,2,FALSE)</f>
        <v/>
      </c>
    </row>
    <row r="9117">
      <c r="A9117" t="inlineStr">
        <is>
          <t xml:space="preserve">full </t>
        </is>
      </c>
      <c r="B9117">
        <f>VLOOKUP(813,Requirements!A2:B2967,2,FALSE)</f>
        <v/>
      </c>
    </row>
    <row r="9118">
      <c r="A9118" t="inlineStr">
        <is>
          <t xml:space="preserve">full </t>
        </is>
      </c>
      <c r="B9118">
        <f>VLOOKUP(842,Requirements!A2:B2967,2,FALSE)</f>
        <v/>
      </c>
    </row>
    <row r="9119">
      <c r="A9119" t="inlineStr">
        <is>
          <t xml:space="preserve">full </t>
        </is>
      </c>
      <c r="B9119">
        <f>VLOOKUP(1018,Requirements!A2:B2967,2,FALSE)</f>
        <v/>
      </c>
    </row>
    <row r="9120">
      <c r="A9120" t="inlineStr">
        <is>
          <t xml:space="preserve">full </t>
        </is>
      </c>
      <c r="B9120">
        <f>VLOOKUP(1066,Requirements!A2:B2967,2,FALSE)</f>
        <v/>
      </c>
    </row>
    <row r="9121">
      <c r="A9121" t="inlineStr">
        <is>
          <t xml:space="preserve">full </t>
        </is>
      </c>
      <c r="B9121">
        <f>VLOOKUP(1721,Requirements!A2:B2967,2,FALSE)</f>
        <v/>
      </c>
    </row>
    <row r="9122">
      <c r="A9122" t="inlineStr">
        <is>
          <t xml:space="preserve">full </t>
        </is>
      </c>
      <c r="B9122">
        <f>VLOOKUP(2286,Requirements!A2:B2967,2,FALSE)</f>
        <v/>
      </c>
    </row>
    <row r="9123">
      <c r="A9123" t="inlineStr">
        <is>
          <t xml:space="preserve">full </t>
        </is>
      </c>
      <c r="B9123">
        <f>VLOOKUP(2296,Requirements!A2:B2967,2,FALSE)</f>
        <v/>
      </c>
    </row>
    <row r="9124">
      <c r="A9124" t="inlineStr">
        <is>
          <t xml:space="preserve">full </t>
        </is>
      </c>
      <c r="B9124">
        <f>VLOOKUP(2656,Requirements!A2:B2967,2,FALSE)</f>
        <v/>
      </c>
    </row>
    <row r="9125">
      <c r="A9125" t="inlineStr">
        <is>
          <t xml:space="preserve">full </t>
        </is>
      </c>
      <c r="B9125">
        <f>VLOOKUP(2918,Requirements!A2:B2967,2,FALSE)</f>
        <v/>
      </c>
    </row>
    <row r="9126">
      <c r="A9126" t="inlineStr">
        <is>
          <t xml:space="preserve">full </t>
        </is>
      </c>
      <c r="B9126">
        <f>VLOOKUP(2974,Requirements!A2:B2967,2,FALSE)</f>
        <v/>
      </c>
    </row>
    <row r="9127">
      <c r="A9127" t="inlineStr">
        <is>
          <t xml:space="preserve">sunlight </t>
        </is>
      </c>
      <c r="B9127">
        <f>VLOOKUP(265,Requirements!A2:B2967,2,FALSE)</f>
        <v/>
      </c>
    </row>
    <row r="9128">
      <c r="A9128" t="inlineStr">
        <is>
          <t xml:space="preserve">sunlight </t>
        </is>
      </c>
      <c r="B9128">
        <f>VLOOKUP(552,Requirements!A2:B2967,2,FALSE)</f>
        <v/>
      </c>
    </row>
    <row r="9129">
      <c r="A9129" t="inlineStr">
        <is>
          <t xml:space="preserve">sunlight </t>
        </is>
      </c>
      <c r="B9129">
        <f>VLOOKUP(709,Requirements!A2:B2967,2,FALSE)</f>
        <v/>
      </c>
    </row>
    <row r="9130">
      <c r="A9130" t="inlineStr">
        <is>
          <t xml:space="preserve">sunlight </t>
        </is>
      </c>
      <c r="B9130">
        <f>VLOOKUP(978,Requirements!A2:B2967,2,FALSE)</f>
        <v/>
      </c>
    </row>
    <row r="9131">
      <c r="A9131" t="inlineStr">
        <is>
          <t xml:space="preserve">sunlight </t>
        </is>
      </c>
      <c r="B9131">
        <f>VLOOKUP(1269,Requirements!A2:B2967,2,FALSE)</f>
        <v/>
      </c>
    </row>
    <row r="9132">
      <c r="A9132" t="inlineStr">
        <is>
          <t xml:space="preserve">sunlight </t>
        </is>
      </c>
      <c r="B9132">
        <f>VLOOKUP(1926,Requirements!A2:B2967,2,FALSE)</f>
        <v/>
      </c>
    </row>
    <row r="9133">
      <c r="A9133" t="inlineStr">
        <is>
          <t xml:space="preserve">sunlight </t>
        </is>
      </c>
      <c r="B9133">
        <f>VLOOKUP(2248,Requirements!A2:B2967,2,FALSE)</f>
        <v/>
      </c>
    </row>
    <row r="9134">
      <c r="A9134" t="inlineStr">
        <is>
          <t xml:space="preserve">sunlight </t>
        </is>
      </c>
      <c r="B9134">
        <f>VLOOKUP(2774,Requirements!A2:B2967,2,FALSE)</f>
        <v/>
      </c>
    </row>
    <row r="9135">
      <c r="A9135" t="inlineStr">
        <is>
          <t xml:space="preserve">sunlight </t>
        </is>
      </c>
      <c r="B9135">
        <f>VLOOKUP(2794,Requirements!A2:B2967,2,FALSE)</f>
        <v/>
      </c>
    </row>
    <row r="9136">
      <c r="A9136" t="inlineStr">
        <is>
          <t xml:space="preserve">sunlight </t>
        </is>
      </c>
      <c r="B9136">
        <f>VLOOKUP(2898,Requirements!A2:B2967,2,FALSE)</f>
        <v/>
      </c>
    </row>
    <row r="9137">
      <c r="A9137" t="inlineStr">
        <is>
          <t xml:space="preserve">sunlight </t>
        </is>
      </c>
      <c r="B9137">
        <f>VLOOKUP(2927,Requirements!A2:B2967,2,FALSE)</f>
        <v/>
      </c>
    </row>
    <row r="9138">
      <c r="A9138" t="inlineStr">
        <is>
          <t xml:space="preserve">sunlight </t>
        </is>
      </c>
      <c r="B9138">
        <f>VLOOKUP(3106,Requirements!A2:B2967,2,FALSE)</f>
        <v/>
      </c>
    </row>
    <row r="9139">
      <c r="A9139" t="inlineStr">
        <is>
          <t xml:space="preserve">wall </t>
        </is>
      </c>
      <c r="B9139">
        <f>VLOOKUP(265,Requirements!A2:B2967,2,FALSE)</f>
        <v/>
      </c>
    </row>
    <row r="9140">
      <c r="A9140" t="inlineStr">
        <is>
          <t xml:space="preserve">wall </t>
        </is>
      </c>
      <c r="B9140">
        <f>VLOOKUP(553,Requirements!A2:B2967,2,FALSE)</f>
        <v/>
      </c>
    </row>
    <row r="9141">
      <c r="A9141" t="inlineStr">
        <is>
          <t xml:space="preserve">wall </t>
        </is>
      </c>
      <c r="B9141">
        <f>VLOOKUP(836,Requirements!A2:B2967,2,FALSE)</f>
        <v/>
      </c>
    </row>
    <row r="9142">
      <c r="A9142" t="inlineStr">
        <is>
          <t xml:space="preserve">wall </t>
        </is>
      </c>
      <c r="B9142">
        <f>VLOOKUP(895,Requirements!A2:B2967,2,FALSE)</f>
        <v/>
      </c>
    </row>
    <row r="9143">
      <c r="A9143" t="inlineStr">
        <is>
          <t xml:space="preserve">wall </t>
        </is>
      </c>
      <c r="B9143">
        <f>VLOOKUP(1089,Requirements!A2:B2967,2,FALSE)</f>
        <v/>
      </c>
    </row>
    <row r="9144">
      <c r="A9144" t="inlineStr">
        <is>
          <t xml:space="preserve">wall </t>
        </is>
      </c>
      <c r="B9144">
        <f>VLOOKUP(1093,Requirements!A2:B2967,2,FALSE)</f>
        <v/>
      </c>
    </row>
    <row r="9145">
      <c r="A9145" t="inlineStr">
        <is>
          <t xml:space="preserve">wall </t>
        </is>
      </c>
      <c r="B9145">
        <f>VLOOKUP(1202,Requirements!A2:B2967,2,FALSE)</f>
        <v/>
      </c>
    </row>
    <row r="9146">
      <c r="A9146" t="inlineStr">
        <is>
          <t xml:space="preserve">wall </t>
        </is>
      </c>
      <c r="B9146">
        <f>VLOOKUP(1228,Requirements!A2:B2967,2,FALSE)</f>
        <v/>
      </c>
    </row>
    <row r="9147">
      <c r="A9147" t="inlineStr">
        <is>
          <t xml:space="preserve">wall </t>
        </is>
      </c>
      <c r="B9147">
        <f>VLOOKUP(1972,Requirements!A2:B2967,2,FALSE)</f>
        <v/>
      </c>
    </row>
    <row r="9148">
      <c r="A9148" t="inlineStr">
        <is>
          <t xml:space="preserve">wall </t>
        </is>
      </c>
      <c r="B9148">
        <f>VLOOKUP(2103,Requirements!A2:B2967,2,FALSE)</f>
        <v/>
      </c>
    </row>
    <row r="9149">
      <c r="A9149" t="inlineStr">
        <is>
          <t xml:space="preserve">wall </t>
        </is>
      </c>
      <c r="B9149">
        <f>VLOOKUP(2175,Requirements!A2:B2967,2,FALSE)</f>
        <v/>
      </c>
    </row>
    <row r="9150">
      <c r="A9150" t="inlineStr">
        <is>
          <t xml:space="preserve">wall </t>
        </is>
      </c>
      <c r="B9150">
        <f>VLOOKUP(3037,Requirements!A2:B2967,2,FALSE)</f>
        <v/>
      </c>
    </row>
    <row r="9151">
      <c r="A9151" t="inlineStr">
        <is>
          <t xml:space="preserve">wall </t>
        </is>
      </c>
      <c r="B9151">
        <f>VLOOKUP(3106,Requirements!A2:B2967,2,FALSE)</f>
        <v/>
      </c>
    </row>
    <row r="9152">
      <c r="A9152" t="inlineStr">
        <is>
          <t xml:space="preserve">wall </t>
        </is>
      </c>
      <c r="B9152">
        <f>VLOOKUP(3136,Requirements!A2:B2967,2,FALSE)</f>
        <v/>
      </c>
    </row>
    <row r="9153">
      <c r="A9153" t="inlineStr">
        <is>
          <t xml:space="preserve">wall </t>
        </is>
      </c>
      <c r="B9153">
        <f>VLOOKUP(3212,Requirements!A2:B2967,2,FALSE)</f>
        <v/>
      </c>
    </row>
    <row r="9154">
      <c r="A9154" t="inlineStr">
        <is>
          <t xml:space="preserve">wall </t>
        </is>
      </c>
      <c r="B9154">
        <f>VLOOKUP(3253,Requirements!A2:B2967,2,FALSE)</f>
        <v/>
      </c>
    </row>
    <row r="9155">
      <c r="A9155" t="inlineStr">
        <is>
          <t xml:space="preserve">wall </t>
        </is>
      </c>
      <c r="B9155">
        <f>VLOOKUP(3254,Requirements!A2:B2967,2,FALSE)</f>
        <v/>
      </c>
    </row>
    <row r="9156">
      <c r="A9156" t="inlineStr">
        <is>
          <t xml:space="preserve">heating </t>
        </is>
      </c>
      <c r="B9156">
        <f>VLOOKUP(266,Requirements!A2:B2967,2,FALSE)</f>
        <v/>
      </c>
    </row>
    <row r="9157">
      <c r="A9157" t="inlineStr">
        <is>
          <t xml:space="preserve">heating </t>
        </is>
      </c>
      <c r="B9157">
        <f>VLOOKUP(422,Requirements!A2:B2967,2,FALSE)</f>
        <v/>
      </c>
    </row>
    <row r="9158">
      <c r="A9158" t="inlineStr">
        <is>
          <t xml:space="preserve">heating </t>
        </is>
      </c>
      <c r="B9158">
        <f>VLOOKUP(546,Requirements!A2:B2967,2,FALSE)</f>
        <v/>
      </c>
    </row>
    <row r="9159">
      <c r="A9159" t="inlineStr">
        <is>
          <t xml:space="preserve">heating </t>
        </is>
      </c>
      <c r="B9159">
        <f>VLOOKUP(678,Requirements!A2:B2967,2,FALSE)</f>
        <v/>
      </c>
    </row>
    <row r="9160">
      <c r="A9160" t="inlineStr">
        <is>
          <t xml:space="preserve">heating </t>
        </is>
      </c>
      <c r="B9160">
        <f>VLOOKUP(1274,Requirements!A2:B2967,2,FALSE)</f>
        <v/>
      </c>
    </row>
    <row r="9161">
      <c r="A9161" t="inlineStr">
        <is>
          <t xml:space="preserve">heating </t>
        </is>
      </c>
      <c r="B9161">
        <f>VLOOKUP(1373,Requirements!A2:B2967,2,FALSE)</f>
        <v/>
      </c>
    </row>
    <row r="9162">
      <c r="A9162" t="inlineStr">
        <is>
          <t xml:space="preserve">heating </t>
        </is>
      </c>
      <c r="B9162">
        <f>VLOOKUP(2308,Requirements!A2:B2967,2,FALSE)</f>
        <v/>
      </c>
    </row>
    <row r="9163">
      <c r="A9163" t="inlineStr">
        <is>
          <t xml:space="preserve">heating </t>
        </is>
      </c>
      <c r="B9163">
        <f>VLOOKUP(2388,Requirements!A2:B2967,2,FALSE)</f>
        <v/>
      </c>
    </row>
    <row r="9164">
      <c r="A9164" t="inlineStr">
        <is>
          <t xml:space="preserve">heating </t>
        </is>
      </c>
      <c r="B9164">
        <f>VLOOKUP(2443,Requirements!A2:B2967,2,FALSE)</f>
        <v/>
      </c>
    </row>
    <row r="9165">
      <c r="A9165" t="inlineStr">
        <is>
          <t xml:space="preserve">heating </t>
        </is>
      </c>
      <c r="B9165">
        <f>VLOOKUP(2800,Requirements!A2:B2967,2,FALSE)</f>
        <v/>
      </c>
    </row>
    <row r="9166">
      <c r="A9166" t="inlineStr">
        <is>
          <t xml:space="preserve">heating </t>
        </is>
      </c>
      <c r="B9166">
        <f>VLOOKUP(2891,Requirements!A2:B2967,2,FALSE)</f>
        <v/>
      </c>
    </row>
    <row r="9167">
      <c r="A9167" t="inlineStr">
        <is>
          <t xml:space="preserve">heating </t>
        </is>
      </c>
      <c r="B9167">
        <f>VLOOKUP(3219,Requirements!A2:B2967,2,FALSE)</f>
        <v/>
      </c>
    </row>
    <row r="9168">
      <c r="A9168" t="inlineStr">
        <is>
          <t xml:space="preserve">technology </t>
        </is>
      </c>
      <c r="B9168">
        <f>VLOOKUP(266,Requirements!A2:B2967,2,FALSE)</f>
        <v/>
      </c>
    </row>
    <row r="9169">
      <c r="A9169" t="inlineStr">
        <is>
          <t xml:space="preserve">technology </t>
        </is>
      </c>
      <c r="B9169">
        <f>VLOOKUP(826,Requirements!A2:B2967,2,FALSE)</f>
        <v/>
      </c>
    </row>
    <row r="9170">
      <c r="A9170" t="inlineStr">
        <is>
          <t xml:space="preserve">technology </t>
        </is>
      </c>
      <c r="B9170">
        <f>VLOOKUP(899,Requirements!A2:B2967,2,FALSE)</f>
        <v/>
      </c>
    </row>
    <row r="9171">
      <c r="A9171" t="inlineStr">
        <is>
          <t xml:space="preserve">technology </t>
        </is>
      </c>
      <c r="B9171">
        <f>VLOOKUP(1367,Requirements!A2:B2967,2,FALSE)</f>
        <v/>
      </c>
    </row>
    <row r="9172">
      <c r="A9172" t="inlineStr">
        <is>
          <t xml:space="preserve">technology </t>
        </is>
      </c>
      <c r="B9172">
        <f>VLOOKUP(1595,Requirements!A2:B2967,2,FALSE)</f>
        <v/>
      </c>
    </row>
    <row r="9173">
      <c r="A9173" t="inlineStr">
        <is>
          <t xml:space="preserve">technology </t>
        </is>
      </c>
      <c r="B9173">
        <f>VLOOKUP(1626,Requirements!A2:B2967,2,FALSE)</f>
        <v/>
      </c>
    </row>
    <row r="9174">
      <c r="A9174" t="inlineStr">
        <is>
          <t xml:space="preserve">technology </t>
        </is>
      </c>
      <c r="B9174">
        <f>VLOOKUP(2401,Requirements!A2:B2967,2,FALSE)</f>
        <v/>
      </c>
    </row>
    <row r="9175">
      <c r="A9175" t="inlineStr">
        <is>
          <t xml:space="preserve">technology </t>
        </is>
      </c>
      <c r="B9175">
        <f>VLOOKUP(3123,Requirements!A2:B2967,2,FALSE)</f>
        <v/>
      </c>
    </row>
    <row r="9176">
      <c r="A9176" t="inlineStr">
        <is>
          <t xml:space="preserve">search </t>
        </is>
      </c>
      <c r="B9176">
        <f>VLOOKUP(267,Requirements!A2:B2967,2,FALSE)</f>
        <v/>
      </c>
    </row>
    <row r="9177">
      <c r="A9177" t="inlineStr">
        <is>
          <t xml:space="preserve">search </t>
        </is>
      </c>
      <c r="B9177">
        <f>VLOOKUP(362,Requirements!A2:B2967,2,FALSE)</f>
        <v/>
      </c>
    </row>
    <row r="9178">
      <c r="A9178" t="inlineStr">
        <is>
          <t xml:space="preserve">search </t>
        </is>
      </c>
      <c r="B9178">
        <f>VLOOKUP(1582,Requirements!A2:B2967,2,FALSE)</f>
        <v/>
      </c>
    </row>
    <row r="9179">
      <c r="A9179" t="inlineStr">
        <is>
          <t xml:space="preserve">search </t>
        </is>
      </c>
      <c r="B9179">
        <f>VLOOKUP(2497,Requirements!A2:B2967,2,FALSE)</f>
        <v/>
      </c>
    </row>
    <row r="9180">
      <c r="A9180" t="inlineStr">
        <is>
          <t xml:space="preserve">search </t>
        </is>
      </c>
      <c r="B9180">
        <f>VLOOKUP(2572,Requirements!A2:B2967,2,FALSE)</f>
        <v/>
      </c>
    </row>
    <row r="9181">
      <c r="A9181" t="inlineStr">
        <is>
          <t xml:space="preserve">search </t>
        </is>
      </c>
      <c r="B9181">
        <f>VLOOKUP(2690,Requirements!A2:B2967,2,FALSE)</f>
        <v/>
      </c>
    </row>
    <row r="9182">
      <c r="A9182" t="inlineStr">
        <is>
          <t xml:space="preserve">search </t>
        </is>
      </c>
      <c r="B9182">
        <f>VLOOKUP(3117,Requirements!A2:B2967,2,FALSE)</f>
        <v/>
      </c>
    </row>
    <row r="9183">
      <c r="A9183" t="inlineStr">
        <is>
          <t xml:space="preserve">hour </t>
        </is>
      </c>
      <c r="B9183">
        <f>VLOOKUP(268,Requirements!A2:B2967,2,FALSE)</f>
        <v/>
      </c>
    </row>
    <row r="9184">
      <c r="A9184" t="inlineStr">
        <is>
          <t xml:space="preserve">hour </t>
        </is>
      </c>
      <c r="B9184">
        <f>VLOOKUP(338,Requirements!A2:B2967,2,FALSE)</f>
        <v/>
      </c>
    </row>
    <row r="9185">
      <c r="A9185" t="inlineStr">
        <is>
          <t xml:space="preserve">hour </t>
        </is>
      </c>
      <c r="B9185">
        <f>VLOOKUP(347,Requirements!A2:B2967,2,FALSE)</f>
        <v/>
      </c>
    </row>
    <row r="9186">
      <c r="A9186" t="inlineStr">
        <is>
          <t xml:space="preserve">hour </t>
        </is>
      </c>
      <c r="B9186">
        <f>VLOOKUP(704,Requirements!A2:B2967,2,FALSE)</f>
        <v/>
      </c>
    </row>
    <row r="9187">
      <c r="A9187" t="inlineStr">
        <is>
          <t xml:space="preserve">hour </t>
        </is>
      </c>
      <c r="B9187">
        <f>VLOOKUP(789,Requirements!A2:B2967,2,FALSE)</f>
        <v/>
      </c>
    </row>
    <row r="9188">
      <c r="A9188" t="inlineStr">
        <is>
          <t xml:space="preserve">hour </t>
        </is>
      </c>
      <c r="B9188">
        <f>VLOOKUP(1026,Requirements!A2:B2967,2,FALSE)</f>
        <v/>
      </c>
    </row>
    <row r="9189">
      <c r="A9189" t="inlineStr">
        <is>
          <t xml:space="preserve">hour </t>
        </is>
      </c>
      <c r="B9189">
        <f>VLOOKUP(1056,Requirements!A2:B2967,2,FALSE)</f>
        <v/>
      </c>
    </row>
    <row r="9190">
      <c r="A9190" t="inlineStr">
        <is>
          <t xml:space="preserve">hour </t>
        </is>
      </c>
      <c r="B9190">
        <f>VLOOKUP(1071,Requirements!A2:B2967,2,FALSE)</f>
        <v/>
      </c>
    </row>
    <row r="9191">
      <c r="A9191" t="inlineStr">
        <is>
          <t xml:space="preserve">hour </t>
        </is>
      </c>
      <c r="B9191">
        <f>VLOOKUP(1090,Requirements!A2:B2967,2,FALSE)</f>
        <v/>
      </c>
    </row>
    <row r="9192">
      <c r="A9192" t="inlineStr">
        <is>
          <t xml:space="preserve">hour </t>
        </is>
      </c>
      <c r="B9192">
        <f>VLOOKUP(1215,Requirements!A2:B2967,2,FALSE)</f>
        <v/>
      </c>
    </row>
    <row r="9193">
      <c r="A9193" t="inlineStr">
        <is>
          <t xml:space="preserve">hour </t>
        </is>
      </c>
      <c r="B9193">
        <f>VLOOKUP(1383,Requirements!A2:B2967,2,FALSE)</f>
        <v/>
      </c>
    </row>
    <row r="9194">
      <c r="A9194" t="inlineStr">
        <is>
          <t xml:space="preserve">hour </t>
        </is>
      </c>
      <c r="B9194">
        <f>VLOOKUP(1668,Requirements!A2:B2967,2,FALSE)</f>
        <v/>
      </c>
    </row>
    <row r="9195">
      <c r="A9195" t="inlineStr">
        <is>
          <t xml:space="preserve">hour </t>
        </is>
      </c>
      <c r="B9195">
        <f>VLOOKUP(2043,Requirements!A2:B2967,2,FALSE)</f>
        <v/>
      </c>
    </row>
    <row r="9196">
      <c r="A9196" t="inlineStr">
        <is>
          <t xml:space="preserve">hour </t>
        </is>
      </c>
      <c r="B9196">
        <f>VLOOKUP(2058,Requirements!A2:B2967,2,FALSE)</f>
        <v/>
      </c>
    </row>
    <row r="9197">
      <c r="A9197" t="inlineStr">
        <is>
          <t xml:space="preserve">hour </t>
        </is>
      </c>
      <c r="B9197">
        <f>VLOOKUP(2125,Requirements!A2:B2967,2,FALSE)</f>
        <v/>
      </c>
    </row>
    <row r="9198">
      <c r="A9198" t="inlineStr">
        <is>
          <t xml:space="preserve">hour </t>
        </is>
      </c>
      <c r="B9198">
        <f>VLOOKUP(2172,Requirements!A2:B2967,2,FALSE)</f>
        <v/>
      </c>
    </row>
    <row r="9199">
      <c r="A9199" t="inlineStr">
        <is>
          <t xml:space="preserve">hour </t>
        </is>
      </c>
      <c r="B9199">
        <f>VLOOKUP(2217,Requirements!A2:B2967,2,FALSE)</f>
        <v/>
      </c>
    </row>
    <row r="9200">
      <c r="A9200" t="inlineStr">
        <is>
          <t xml:space="preserve">hour </t>
        </is>
      </c>
      <c r="B9200">
        <f>VLOOKUP(2707,Requirements!A2:B2967,2,FALSE)</f>
        <v/>
      </c>
    </row>
    <row r="9201">
      <c r="A9201" t="inlineStr">
        <is>
          <t xml:space="preserve">hour </t>
        </is>
      </c>
      <c r="B9201">
        <f>VLOOKUP(2714,Requirements!A2:B2967,2,FALSE)</f>
        <v/>
      </c>
    </row>
    <row r="9202">
      <c r="A9202" t="inlineStr">
        <is>
          <t xml:space="preserve">hour </t>
        </is>
      </c>
      <c r="B9202">
        <f>VLOOKUP(2799,Requirements!A2:B2967,2,FALSE)</f>
        <v/>
      </c>
    </row>
    <row r="9203">
      <c r="A9203" t="inlineStr">
        <is>
          <t xml:space="preserve">hour </t>
        </is>
      </c>
      <c r="B9203">
        <f>VLOOKUP(2846,Requirements!A2:B2967,2,FALSE)</f>
        <v/>
      </c>
    </row>
    <row r="9204">
      <c r="A9204" t="inlineStr">
        <is>
          <t xml:space="preserve">hour </t>
        </is>
      </c>
      <c r="B9204">
        <f>VLOOKUP(3006,Requirements!A2:B2967,2,FALSE)</f>
        <v/>
      </c>
    </row>
    <row r="9205">
      <c r="A9205" t="inlineStr">
        <is>
          <t xml:space="preserve">hour </t>
        </is>
      </c>
      <c r="B9205">
        <f>VLOOKUP(3141,Requirements!A2:B2967,2,FALSE)</f>
        <v/>
      </c>
    </row>
    <row r="9206">
      <c r="A9206" t="inlineStr">
        <is>
          <t xml:space="preserve">something </t>
        </is>
      </c>
      <c r="B9206">
        <f>VLOOKUP(271,Requirements!A2:B2967,2,FALSE)</f>
        <v/>
      </c>
    </row>
    <row r="9207">
      <c r="A9207" t="inlineStr">
        <is>
          <t xml:space="preserve">something </t>
        </is>
      </c>
      <c r="B9207">
        <f>VLOOKUP(290,Requirements!A2:B2967,2,FALSE)</f>
        <v/>
      </c>
    </row>
    <row r="9208">
      <c r="A9208" t="inlineStr">
        <is>
          <t xml:space="preserve">something </t>
        </is>
      </c>
      <c r="B9208">
        <f>VLOOKUP(303,Requirements!A2:B2967,2,FALSE)</f>
        <v/>
      </c>
    </row>
    <row r="9209">
      <c r="A9209" t="inlineStr">
        <is>
          <t xml:space="preserve">something </t>
        </is>
      </c>
      <c r="B9209">
        <f>VLOOKUP(304,Requirements!A2:B2967,2,FALSE)</f>
        <v/>
      </c>
    </row>
    <row r="9210">
      <c r="A9210" t="inlineStr">
        <is>
          <t xml:space="preserve">something </t>
        </is>
      </c>
      <c r="B9210">
        <f>VLOOKUP(318,Requirements!A2:B2967,2,FALSE)</f>
        <v/>
      </c>
    </row>
    <row r="9211">
      <c r="A9211" t="inlineStr">
        <is>
          <t xml:space="preserve">something </t>
        </is>
      </c>
      <c r="B9211">
        <f>VLOOKUP(324,Requirements!A2:B2967,2,FALSE)</f>
        <v/>
      </c>
    </row>
    <row r="9212">
      <c r="A9212" t="inlineStr">
        <is>
          <t xml:space="preserve">something </t>
        </is>
      </c>
      <c r="B9212">
        <f>VLOOKUP(325,Requirements!A2:B2967,2,FALSE)</f>
        <v/>
      </c>
    </row>
    <row r="9213">
      <c r="A9213" t="inlineStr">
        <is>
          <t xml:space="preserve">something </t>
        </is>
      </c>
      <c r="B9213">
        <f>VLOOKUP(328,Requirements!A2:B2967,2,FALSE)</f>
        <v/>
      </c>
    </row>
    <row r="9214">
      <c r="A9214" t="inlineStr">
        <is>
          <t xml:space="preserve">something </t>
        </is>
      </c>
      <c r="B9214">
        <f>VLOOKUP(338,Requirements!A2:B2967,2,FALSE)</f>
        <v/>
      </c>
    </row>
    <row r="9215">
      <c r="A9215" t="inlineStr">
        <is>
          <t xml:space="preserve">something </t>
        </is>
      </c>
      <c r="B9215">
        <f>VLOOKUP(339,Requirements!A2:B2967,2,FALSE)</f>
        <v/>
      </c>
    </row>
    <row r="9216">
      <c r="A9216" t="inlineStr">
        <is>
          <t xml:space="preserve">something </t>
        </is>
      </c>
      <c r="B9216">
        <f>VLOOKUP(462,Requirements!A2:B2967,2,FALSE)</f>
        <v/>
      </c>
    </row>
    <row r="9217">
      <c r="A9217" t="inlineStr">
        <is>
          <t xml:space="preserve">something </t>
        </is>
      </c>
      <c r="B9217">
        <f>VLOOKUP(523,Requirements!A2:B2967,2,FALSE)</f>
        <v/>
      </c>
    </row>
    <row r="9218">
      <c r="A9218" t="inlineStr">
        <is>
          <t xml:space="preserve">something </t>
        </is>
      </c>
      <c r="B9218">
        <f>VLOOKUP(532,Requirements!A2:B2967,2,FALSE)</f>
        <v/>
      </c>
    </row>
    <row r="9219">
      <c r="A9219" t="inlineStr">
        <is>
          <t xml:space="preserve">something </t>
        </is>
      </c>
      <c r="B9219">
        <f>VLOOKUP(656,Requirements!A2:B2967,2,FALSE)</f>
        <v/>
      </c>
    </row>
    <row r="9220">
      <c r="A9220" t="inlineStr">
        <is>
          <t xml:space="preserve">something </t>
        </is>
      </c>
      <c r="B9220">
        <f>VLOOKUP(661,Requirements!A2:B2967,2,FALSE)</f>
        <v/>
      </c>
    </row>
    <row r="9221">
      <c r="A9221" t="inlineStr">
        <is>
          <t xml:space="preserve">something </t>
        </is>
      </c>
      <c r="B9221">
        <f>VLOOKUP(666,Requirements!A2:B2967,2,FALSE)</f>
        <v/>
      </c>
    </row>
    <row r="9222">
      <c r="A9222" t="inlineStr">
        <is>
          <t xml:space="preserve">something </t>
        </is>
      </c>
      <c r="B9222">
        <f>VLOOKUP(683,Requirements!A2:B2967,2,FALSE)</f>
        <v/>
      </c>
    </row>
    <row r="9223">
      <c r="A9223" t="inlineStr">
        <is>
          <t xml:space="preserve">something </t>
        </is>
      </c>
      <c r="B9223">
        <f>VLOOKUP(791,Requirements!A2:B2967,2,FALSE)</f>
        <v/>
      </c>
    </row>
    <row r="9224">
      <c r="A9224" t="inlineStr">
        <is>
          <t xml:space="preserve">something </t>
        </is>
      </c>
      <c r="B9224">
        <f>VLOOKUP(834,Requirements!A2:B2967,2,FALSE)</f>
        <v/>
      </c>
    </row>
    <row r="9225">
      <c r="A9225" t="inlineStr">
        <is>
          <t xml:space="preserve">something </t>
        </is>
      </c>
      <c r="B9225">
        <f>VLOOKUP(922,Requirements!A2:B2967,2,FALSE)</f>
        <v/>
      </c>
    </row>
    <row r="9226">
      <c r="A9226" t="inlineStr">
        <is>
          <t xml:space="preserve">something </t>
        </is>
      </c>
      <c r="B9226">
        <f>VLOOKUP(1127,Requirements!A2:B2967,2,FALSE)</f>
        <v/>
      </c>
    </row>
    <row r="9227">
      <c r="A9227" t="inlineStr">
        <is>
          <t xml:space="preserve">something </t>
        </is>
      </c>
      <c r="B9227">
        <f>VLOOKUP(1202,Requirements!A2:B2967,2,FALSE)</f>
        <v/>
      </c>
    </row>
    <row r="9228">
      <c r="A9228" t="inlineStr">
        <is>
          <t xml:space="preserve">something </t>
        </is>
      </c>
      <c r="B9228">
        <f>VLOOKUP(1227,Requirements!A2:B2967,2,FALSE)</f>
        <v/>
      </c>
    </row>
    <row r="9229">
      <c r="A9229" t="inlineStr">
        <is>
          <t xml:space="preserve">something </t>
        </is>
      </c>
      <c r="B9229">
        <f>VLOOKUP(1237,Requirements!A2:B2967,2,FALSE)</f>
        <v/>
      </c>
    </row>
    <row r="9230">
      <c r="A9230" t="inlineStr">
        <is>
          <t xml:space="preserve">something </t>
        </is>
      </c>
      <c r="B9230">
        <f>VLOOKUP(1331,Requirements!A2:B2967,2,FALSE)</f>
        <v/>
      </c>
    </row>
    <row r="9231">
      <c r="A9231" t="inlineStr">
        <is>
          <t xml:space="preserve">something </t>
        </is>
      </c>
      <c r="B9231">
        <f>VLOOKUP(1416,Requirements!A2:B2967,2,FALSE)</f>
        <v/>
      </c>
    </row>
    <row r="9232">
      <c r="A9232" t="inlineStr">
        <is>
          <t xml:space="preserve">something </t>
        </is>
      </c>
      <c r="B9232">
        <f>VLOOKUP(1488,Requirements!A2:B2967,2,FALSE)</f>
        <v/>
      </c>
    </row>
    <row r="9233">
      <c r="A9233" t="inlineStr">
        <is>
          <t xml:space="preserve">something </t>
        </is>
      </c>
      <c r="B9233">
        <f>VLOOKUP(1548,Requirements!A2:B2967,2,FALSE)</f>
        <v/>
      </c>
    </row>
    <row r="9234">
      <c r="A9234" t="inlineStr">
        <is>
          <t xml:space="preserve">something </t>
        </is>
      </c>
      <c r="B9234">
        <f>VLOOKUP(1681,Requirements!A2:B2967,2,FALSE)</f>
        <v/>
      </c>
    </row>
    <row r="9235">
      <c r="A9235" t="inlineStr">
        <is>
          <t xml:space="preserve">something </t>
        </is>
      </c>
      <c r="B9235">
        <f>VLOOKUP(1752,Requirements!A2:B2967,2,FALSE)</f>
        <v/>
      </c>
    </row>
    <row r="9236">
      <c r="A9236" t="inlineStr">
        <is>
          <t xml:space="preserve">something </t>
        </is>
      </c>
      <c r="B9236">
        <f>VLOOKUP(1756,Requirements!A2:B2967,2,FALSE)</f>
        <v/>
      </c>
    </row>
    <row r="9237">
      <c r="A9237" t="inlineStr">
        <is>
          <t xml:space="preserve">something </t>
        </is>
      </c>
      <c r="B9237">
        <f>VLOOKUP(1760,Requirements!A2:B2967,2,FALSE)</f>
        <v/>
      </c>
    </row>
    <row r="9238">
      <c r="A9238" t="inlineStr">
        <is>
          <t xml:space="preserve">something </t>
        </is>
      </c>
      <c r="B9238">
        <f>VLOOKUP(1764,Requirements!A2:B2967,2,FALSE)</f>
        <v/>
      </c>
    </row>
    <row r="9239">
      <c r="A9239" t="inlineStr">
        <is>
          <t xml:space="preserve">something </t>
        </is>
      </c>
      <c r="B9239">
        <f>VLOOKUP(1768,Requirements!A2:B2967,2,FALSE)</f>
        <v/>
      </c>
    </row>
    <row r="9240">
      <c r="A9240" t="inlineStr">
        <is>
          <t xml:space="preserve">something </t>
        </is>
      </c>
      <c r="B9240">
        <f>VLOOKUP(1789,Requirements!A2:B2967,2,FALSE)</f>
        <v/>
      </c>
    </row>
    <row r="9241">
      <c r="A9241" t="inlineStr">
        <is>
          <t xml:space="preserve">something </t>
        </is>
      </c>
      <c r="B9241">
        <f>VLOOKUP(2058,Requirements!A2:B2967,2,FALSE)</f>
        <v/>
      </c>
    </row>
    <row r="9242">
      <c r="A9242" t="inlineStr">
        <is>
          <t xml:space="preserve">something </t>
        </is>
      </c>
      <c r="B9242">
        <f>VLOOKUP(2059,Requirements!A2:B2967,2,FALSE)</f>
        <v/>
      </c>
    </row>
    <row r="9243">
      <c r="A9243" t="inlineStr">
        <is>
          <t xml:space="preserve">something </t>
        </is>
      </c>
      <c r="B9243">
        <f>VLOOKUP(2079,Requirements!A2:B2967,2,FALSE)</f>
        <v/>
      </c>
    </row>
    <row r="9244">
      <c r="A9244" t="inlineStr">
        <is>
          <t xml:space="preserve">something </t>
        </is>
      </c>
      <c r="B9244">
        <f>VLOOKUP(2081,Requirements!A2:B2967,2,FALSE)</f>
        <v/>
      </c>
    </row>
    <row r="9245">
      <c r="A9245" t="inlineStr">
        <is>
          <t xml:space="preserve">something </t>
        </is>
      </c>
      <c r="B9245">
        <f>VLOOKUP(2085,Requirements!A2:B2967,2,FALSE)</f>
        <v/>
      </c>
    </row>
    <row r="9246">
      <c r="A9246" t="inlineStr">
        <is>
          <t xml:space="preserve">something </t>
        </is>
      </c>
      <c r="B9246">
        <f>VLOOKUP(2124,Requirements!A2:B2967,2,FALSE)</f>
        <v/>
      </c>
    </row>
    <row r="9247">
      <c r="A9247" t="inlineStr">
        <is>
          <t xml:space="preserve">something </t>
        </is>
      </c>
      <c r="B9247">
        <f>VLOOKUP(2210,Requirements!A2:B2967,2,FALSE)</f>
        <v/>
      </c>
    </row>
    <row r="9248">
      <c r="A9248" t="inlineStr">
        <is>
          <t xml:space="preserve">something </t>
        </is>
      </c>
      <c r="B9248">
        <f>VLOOKUP(2241,Requirements!A2:B2967,2,FALSE)</f>
        <v/>
      </c>
    </row>
    <row r="9249">
      <c r="A9249" t="inlineStr">
        <is>
          <t xml:space="preserve">something </t>
        </is>
      </c>
      <c r="B9249">
        <f>VLOOKUP(2275,Requirements!A2:B2967,2,FALSE)</f>
        <v/>
      </c>
    </row>
    <row r="9250">
      <c r="A9250" t="inlineStr">
        <is>
          <t xml:space="preserve">something </t>
        </is>
      </c>
      <c r="B9250">
        <f>VLOOKUP(2345,Requirements!A2:B2967,2,FALSE)</f>
        <v/>
      </c>
    </row>
    <row r="9251">
      <c r="A9251" t="inlineStr">
        <is>
          <t xml:space="preserve">something </t>
        </is>
      </c>
      <c r="B9251">
        <f>VLOOKUP(2387,Requirements!A2:B2967,2,FALSE)</f>
        <v/>
      </c>
    </row>
    <row r="9252">
      <c r="A9252" t="inlineStr">
        <is>
          <t xml:space="preserve">something </t>
        </is>
      </c>
      <c r="B9252">
        <f>VLOOKUP(2496,Requirements!A2:B2967,2,FALSE)</f>
        <v/>
      </c>
    </row>
    <row r="9253">
      <c r="A9253" t="inlineStr">
        <is>
          <t xml:space="preserve">something </t>
        </is>
      </c>
      <c r="B9253">
        <f>VLOOKUP(2516,Requirements!A2:B2967,2,FALSE)</f>
        <v/>
      </c>
    </row>
    <row r="9254">
      <c r="A9254" t="inlineStr">
        <is>
          <t xml:space="preserve">something </t>
        </is>
      </c>
      <c r="B9254">
        <f>VLOOKUP(2522,Requirements!A2:B2967,2,FALSE)</f>
        <v/>
      </c>
    </row>
    <row r="9255">
      <c r="A9255" t="inlineStr">
        <is>
          <t xml:space="preserve">something </t>
        </is>
      </c>
      <c r="B9255">
        <f>VLOOKUP(2535,Requirements!A2:B2967,2,FALSE)</f>
        <v/>
      </c>
    </row>
    <row r="9256">
      <c r="A9256" t="inlineStr">
        <is>
          <t xml:space="preserve">something </t>
        </is>
      </c>
      <c r="B9256">
        <f>VLOOKUP(2710,Requirements!A2:B2967,2,FALSE)</f>
        <v/>
      </c>
    </row>
    <row r="9257">
      <c r="A9257" t="inlineStr">
        <is>
          <t xml:space="preserve">something </t>
        </is>
      </c>
      <c r="B9257">
        <f>VLOOKUP(2878,Requirements!A2:B2967,2,FALSE)</f>
        <v/>
      </c>
    </row>
    <row r="9258">
      <c r="A9258" t="inlineStr">
        <is>
          <t xml:space="preserve">something </t>
        </is>
      </c>
      <c r="B9258">
        <f>VLOOKUP(2902,Requirements!A2:B2967,2,FALSE)</f>
        <v/>
      </c>
    </row>
    <row r="9259">
      <c r="A9259" t="inlineStr">
        <is>
          <t xml:space="preserve">something </t>
        </is>
      </c>
      <c r="B9259">
        <f>VLOOKUP(2904,Requirements!A2:B2967,2,FALSE)</f>
        <v/>
      </c>
    </row>
    <row r="9260">
      <c r="A9260" t="inlineStr">
        <is>
          <t xml:space="preserve">something </t>
        </is>
      </c>
      <c r="B9260">
        <f>VLOOKUP(3035,Requirements!A2:B2967,2,FALSE)</f>
        <v/>
      </c>
    </row>
    <row r="9261">
      <c r="A9261" t="inlineStr">
        <is>
          <t xml:space="preserve">something </t>
        </is>
      </c>
      <c r="B9261">
        <f>VLOOKUP(3100,Requirements!A2:B2967,2,FALSE)</f>
        <v/>
      </c>
    </row>
    <row r="9262">
      <c r="A9262" t="inlineStr">
        <is>
          <t xml:space="preserve">something </t>
        </is>
      </c>
      <c r="B9262">
        <f>VLOOKUP(3190,Requirements!A2:B2967,2,FALSE)</f>
        <v/>
      </c>
    </row>
    <row r="9263">
      <c r="A9263" t="inlineStr">
        <is>
          <t xml:space="preserve">something </t>
        </is>
      </c>
      <c r="B9263">
        <f>VLOOKUP(3221,Requirements!A2:B2967,2,FALSE)</f>
        <v/>
      </c>
    </row>
    <row r="9264">
      <c r="A9264" t="inlineStr">
        <is>
          <t xml:space="preserve">something </t>
        </is>
      </c>
      <c r="B9264">
        <f>VLOOKUP(3242,Requirements!A2:B2967,2,FALSE)</f>
        <v/>
      </c>
    </row>
    <row r="9265">
      <c r="A9265" t="inlineStr">
        <is>
          <t xml:space="preserve">milk </t>
        </is>
      </c>
      <c r="B9265">
        <f>VLOOKUP(273,Requirements!A2:B2967,2,FALSE)</f>
        <v/>
      </c>
    </row>
    <row r="9266">
      <c r="A9266" t="inlineStr">
        <is>
          <t xml:space="preserve">milk </t>
        </is>
      </c>
      <c r="B9266">
        <f>VLOOKUP(286,Requirements!A2:B2967,2,FALSE)</f>
        <v/>
      </c>
    </row>
    <row r="9267">
      <c r="A9267" t="inlineStr">
        <is>
          <t xml:space="preserve">milk </t>
        </is>
      </c>
      <c r="B9267">
        <f>VLOOKUP(315,Requirements!A2:B2967,2,FALSE)</f>
        <v/>
      </c>
    </row>
    <row r="9268">
      <c r="A9268" t="inlineStr">
        <is>
          <t xml:space="preserve">milk </t>
        </is>
      </c>
      <c r="B9268">
        <f>VLOOKUP(732,Requirements!A2:B2967,2,FALSE)</f>
        <v/>
      </c>
    </row>
    <row r="9269">
      <c r="A9269" t="inlineStr">
        <is>
          <t xml:space="preserve">milk </t>
        </is>
      </c>
      <c r="B9269">
        <f>VLOOKUP(1103,Requirements!A2:B2967,2,FALSE)</f>
        <v/>
      </c>
    </row>
    <row r="9270">
      <c r="A9270" t="inlineStr">
        <is>
          <t xml:space="preserve">milk </t>
        </is>
      </c>
      <c r="B9270">
        <f>VLOOKUP(1917,Requirements!A2:B2967,2,FALSE)</f>
        <v/>
      </c>
    </row>
    <row r="9271">
      <c r="A9271" t="inlineStr">
        <is>
          <t xml:space="preserve">damage </t>
        </is>
      </c>
      <c r="B9271">
        <f>VLOOKUP(274,Requirements!A2:B2967,2,FALSE)</f>
        <v/>
      </c>
    </row>
    <row r="9272">
      <c r="A9272" t="inlineStr">
        <is>
          <t xml:space="preserve">damage </t>
        </is>
      </c>
      <c r="B9272">
        <f>VLOOKUP(306,Requirements!A2:B2967,2,FALSE)</f>
        <v/>
      </c>
    </row>
    <row r="9273">
      <c r="A9273" t="inlineStr">
        <is>
          <t xml:space="preserve">damage </t>
        </is>
      </c>
      <c r="B9273">
        <f>VLOOKUP(374,Requirements!A2:B2967,2,FALSE)</f>
        <v/>
      </c>
    </row>
    <row r="9274">
      <c r="A9274" t="inlineStr">
        <is>
          <t xml:space="preserve">damage </t>
        </is>
      </c>
      <c r="B9274">
        <f>VLOOKUP(1182,Requirements!A2:B2967,2,FALSE)</f>
        <v/>
      </c>
    </row>
    <row r="9275">
      <c r="A9275" t="inlineStr">
        <is>
          <t xml:space="preserve">damage </t>
        </is>
      </c>
      <c r="B9275">
        <f>VLOOKUP(2335,Requirements!A2:B2967,2,FALSE)</f>
        <v/>
      </c>
    </row>
    <row r="9276">
      <c r="A9276" t="inlineStr">
        <is>
          <t xml:space="preserve">damage </t>
        </is>
      </c>
      <c r="B9276">
        <f>VLOOKUP(2523,Requirements!A2:B2967,2,FALSE)</f>
        <v/>
      </c>
    </row>
    <row r="9277">
      <c r="A9277" t="inlineStr">
        <is>
          <t xml:space="preserve">damage </t>
        </is>
      </c>
      <c r="B9277">
        <f>VLOOKUP(2694,Requirements!A2:B2967,2,FALSE)</f>
        <v/>
      </c>
    </row>
    <row r="9278">
      <c r="A9278" t="inlineStr">
        <is>
          <t xml:space="preserve">damage </t>
        </is>
      </c>
      <c r="B9278">
        <f>VLOOKUP(2882,Requirements!A2:B2967,2,FALSE)</f>
        <v/>
      </c>
    </row>
    <row r="9279">
      <c r="A9279" t="inlineStr">
        <is>
          <t xml:space="preserve">damage </t>
        </is>
      </c>
      <c r="B9279">
        <f>VLOOKUP(3201,Requirements!A2:B2967,2,FALSE)</f>
        <v/>
      </c>
    </row>
    <row r="9280">
      <c r="A9280" t="inlineStr">
        <is>
          <t xml:space="preserve">damage </t>
        </is>
      </c>
      <c r="B9280">
        <f>VLOOKUP(3254,Requirements!A2:B2967,2,FALSE)</f>
        <v/>
      </c>
    </row>
    <row r="9281">
      <c r="A9281" t="inlineStr">
        <is>
          <t xml:space="preserve">housewife </t>
        </is>
      </c>
      <c r="B9281">
        <f>VLOOKUP(275,Requirements!A2:B2967,2,FALSE)</f>
        <v/>
      </c>
    </row>
    <row r="9282">
      <c r="A9282" t="inlineStr">
        <is>
          <t xml:space="preserve">housewife </t>
        </is>
      </c>
      <c r="B9282">
        <f>VLOOKUP(281,Requirements!A2:B2967,2,FALSE)</f>
        <v/>
      </c>
    </row>
    <row r="9283">
      <c r="A9283" t="inlineStr">
        <is>
          <t xml:space="preserve">housewife </t>
        </is>
      </c>
      <c r="B9283">
        <f>VLOOKUP(286,Requirements!A2:B2967,2,FALSE)</f>
        <v/>
      </c>
    </row>
    <row r="9284">
      <c r="A9284" t="inlineStr">
        <is>
          <t xml:space="preserve">housewife </t>
        </is>
      </c>
      <c r="B9284">
        <f>VLOOKUP(315,Requirements!A2:B2967,2,FALSE)</f>
        <v/>
      </c>
    </row>
    <row r="9285">
      <c r="A9285" t="inlineStr">
        <is>
          <t xml:space="preserve">housewife </t>
        </is>
      </c>
      <c r="B9285">
        <f>VLOOKUP(3120,Requirements!A2:B2967,2,FALSE)</f>
        <v/>
      </c>
    </row>
    <row r="9286">
      <c r="A9286" t="inlineStr">
        <is>
          <t xml:space="preserve">housewife </t>
        </is>
      </c>
      <c r="B9286">
        <f>VLOOKUP(3180,Requirements!A2:B2967,2,FALSE)</f>
        <v/>
      </c>
    </row>
    <row r="9287">
      <c r="A9287" t="inlineStr">
        <is>
          <t xml:space="preserve">television </t>
        </is>
      </c>
      <c r="B9287">
        <f>VLOOKUP(275,Requirements!A2:B2967,2,FALSE)</f>
        <v/>
      </c>
    </row>
    <row r="9288">
      <c r="A9288" t="inlineStr">
        <is>
          <t xml:space="preserve">television </t>
        </is>
      </c>
      <c r="B9288">
        <f>VLOOKUP(313,Requirements!A2:B2967,2,FALSE)</f>
        <v/>
      </c>
    </row>
    <row r="9289">
      <c r="A9289" t="inlineStr">
        <is>
          <t xml:space="preserve">television </t>
        </is>
      </c>
      <c r="B9289">
        <f>VLOOKUP(641,Requirements!A2:B2967,2,FALSE)</f>
        <v/>
      </c>
    </row>
    <row r="9290">
      <c r="A9290" t="inlineStr">
        <is>
          <t xml:space="preserve">television </t>
        </is>
      </c>
      <c r="B9290">
        <f>VLOOKUP(655,Requirements!A2:B2967,2,FALSE)</f>
        <v/>
      </c>
    </row>
    <row r="9291">
      <c r="A9291" t="inlineStr">
        <is>
          <t xml:space="preserve">television </t>
        </is>
      </c>
      <c r="B9291">
        <f>VLOOKUP(677,Requirements!A2:B2967,2,FALSE)</f>
        <v/>
      </c>
    </row>
    <row r="9292">
      <c r="A9292" t="inlineStr">
        <is>
          <t xml:space="preserve">television </t>
        </is>
      </c>
      <c r="B9292">
        <f>VLOOKUP(809,Requirements!A2:B2967,2,FALSE)</f>
        <v/>
      </c>
    </row>
    <row r="9293">
      <c r="A9293" t="inlineStr">
        <is>
          <t xml:space="preserve">television </t>
        </is>
      </c>
      <c r="B9293">
        <f>VLOOKUP(865,Requirements!A2:B2967,2,FALSE)</f>
        <v/>
      </c>
    </row>
    <row r="9294">
      <c r="A9294" t="inlineStr">
        <is>
          <t xml:space="preserve">television </t>
        </is>
      </c>
      <c r="B9294">
        <f>VLOOKUP(923,Requirements!A2:B2967,2,FALSE)</f>
        <v/>
      </c>
    </row>
    <row r="9295">
      <c r="A9295" t="inlineStr">
        <is>
          <t xml:space="preserve">television </t>
        </is>
      </c>
      <c r="B9295">
        <f>VLOOKUP(1090,Requirements!A2:B2967,2,FALSE)</f>
        <v/>
      </c>
    </row>
    <row r="9296">
      <c r="A9296" t="inlineStr">
        <is>
          <t xml:space="preserve">television </t>
        </is>
      </c>
      <c r="B9296">
        <f>VLOOKUP(1448,Requirements!A2:B2967,2,FALSE)</f>
        <v/>
      </c>
    </row>
    <row r="9297">
      <c r="A9297" t="inlineStr">
        <is>
          <t xml:space="preserve">television </t>
        </is>
      </c>
      <c r="B9297">
        <f>VLOOKUP(1451,Requirements!A2:B2967,2,FALSE)</f>
        <v/>
      </c>
    </row>
    <row r="9298">
      <c r="A9298" t="inlineStr">
        <is>
          <t xml:space="preserve">television </t>
        </is>
      </c>
      <c r="B9298">
        <f>VLOOKUP(1530,Requirements!A2:B2967,2,FALSE)</f>
        <v/>
      </c>
    </row>
    <row r="9299">
      <c r="A9299" t="inlineStr">
        <is>
          <t xml:space="preserve">television </t>
        </is>
      </c>
      <c r="B9299">
        <f>VLOOKUP(1809,Requirements!A2:B2967,2,FALSE)</f>
        <v/>
      </c>
    </row>
    <row r="9300">
      <c r="A9300" t="inlineStr">
        <is>
          <t xml:space="preserve">television </t>
        </is>
      </c>
      <c r="B9300">
        <f>VLOOKUP(1840,Requirements!A2:B2967,2,FALSE)</f>
        <v/>
      </c>
    </row>
    <row r="9301">
      <c r="A9301" t="inlineStr">
        <is>
          <t xml:space="preserve">television </t>
        </is>
      </c>
      <c r="B9301">
        <f>VLOOKUP(1852,Requirements!A2:B2967,2,FALSE)</f>
        <v/>
      </c>
    </row>
    <row r="9302">
      <c r="A9302" t="inlineStr">
        <is>
          <t xml:space="preserve">television </t>
        </is>
      </c>
      <c r="B9302">
        <f>VLOOKUP(1872,Requirements!A2:B2967,2,FALSE)</f>
        <v/>
      </c>
    </row>
    <row r="9303">
      <c r="A9303" t="inlineStr">
        <is>
          <t xml:space="preserve">television </t>
        </is>
      </c>
      <c r="B9303">
        <f>VLOOKUP(2058,Requirements!A2:B2967,2,FALSE)</f>
        <v/>
      </c>
    </row>
    <row r="9304">
      <c r="A9304" t="inlineStr">
        <is>
          <t xml:space="preserve">television </t>
        </is>
      </c>
      <c r="B9304">
        <f>VLOOKUP(2193,Requirements!A2:B2967,2,FALSE)</f>
        <v/>
      </c>
    </row>
    <row r="9305">
      <c r="A9305" t="inlineStr">
        <is>
          <t xml:space="preserve">television </t>
        </is>
      </c>
      <c r="B9305">
        <f>VLOOKUP(2532,Requirements!A2:B2967,2,FALSE)</f>
        <v/>
      </c>
    </row>
    <row r="9306">
      <c r="A9306" t="inlineStr">
        <is>
          <t xml:space="preserve">television </t>
        </is>
      </c>
      <c r="B9306">
        <f>VLOOKUP(2608,Requirements!A2:B2967,2,FALSE)</f>
        <v/>
      </c>
    </row>
    <row r="9307">
      <c r="A9307" t="inlineStr">
        <is>
          <t xml:space="preserve">television </t>
        </is>
      </c>
      <c r="B9307">
        <f>VLOOKUP(2656,Requirements!A2:B2967,2,FALSE)</f>
        <v/>
      </c>
    </row>
    <row r="9308">
      <c r="A9308" t="inlineStr">
        <is>
          <t xml:space="preserve">television </t>
        </is>
      </c>
      <c r="B9308">
        <f>VLOOKUP(2718,Requirements!A2:B2967,2,FALSE)</f>
        <v/>
      </c>
    </row>
    <row r="9309">
      <c r="A9309" t="inlineStr">
        <is>
          <t xml:space="preserve">television </t>
        </is>
      </c>
      <c r="B9309">
        <f>VLOOKUP(2943,Requirements!A2:B2967,2,FALSE)</f>
        <v/>
      </c>
    </row>
    <row r="9310">
      <c r="A9310" t="inlineStr">
        <is>
          <t xml:space="preserve">television </t>
        </is>
      </c>
      <c r="B9310">
        <f>VLOOKUP(3053,Requirements!A2:B2967,2,FALSE)</f>
        <v/>
      </c>
    </row>
    <row r="9311">
      <c r="A9311" t="inlineStr">
        <is>
          <t xml:space="preserve">television </t>
        </is>
      </c>
      <c r="B9311">
        <f>VLOOKUP(3229,Requirements!A2:B2967,2,FALSE)</f>
        <v/>
      </c>
    </row>
    <row r="9312">
      <c r="A9312" t="inlineStr">
        <is>
          <t xml:space="preserve">television </t>
        </is>
      </c>
      <c r="B9312">
        <f>VLOOKUP(3270,Requirements!A2:B2967,2,FALSE)</f>
        <v/>
      </c>
    </row>
    <row r="9313">
      <c r="A9313" t="inlineStr">
        <is>
          <t xml:space="preserve">breakfast </t>
        </is>
      </c>
      <c r="B9313">
        <f>VLOOKUP(286,Requirements!A2:B2967,2,FALSE)</f>
        <v/>
      </c>
    </row>
    <row r="9314">
      <c r="A9314" t="inlineStr">
        <is>
          <t xml:space="preserve">breakfast </t>
        </is>
      </c>
      <c r="B9314">
        <f>VLOOKUP(778,Requirements!A2:B2967,2,FALSE)</f>
        <v/>
      </c>
    </row>
    <row r="9315">
      <c r="A9315" t="inlineStr">
        <is>
          <t xml:space="preserve">breakfast </t>
        </is>
      </c>
      <c r="B9315">
        <f>VLOOKUP(792,Requirements!A2:B2967,2,FALSE)</f>
        <v/>
      </c>
    </row>
    <row r="9316">
      <c r="A9316" t="inlineStr">
        <is>
          <t xml:space="preserve">breakfast </t>
        </is>
      </c>
      <c r="B9316">
        <f>VLOOKUP(2469,Requirements!A2:B2967,2,FALSE)</f>
        <v/>
      </c>
    </row>
    <row r="9317">
      <c r="A9317" t="inlineStr">
        <is>
          <t xml:space="preserve">breakfast </t>
        </is>
      </c>
      <c r="B9317">
        <f>VLOOKUP(3043,Requirements!A2:B2967,2,FALSE)</f>
        <v/>
      </c>
    </row>
    <row r="9318">
      <c r="A9318" t="inlineStr">
        <is>
          <t xml:space="preserve">outside light </t>
        </is>
      </c>
      <c r="B9318">
        <f>VLOOKUP(287,Requirements!A2:B2967,2,FALSE)</f>
        <v/>
      </c>
    </row>
    <row r="9319">
      <c r="A9319" t="inlineStr">
        <is>
          <t xml:space="preserve">outside light </t>
        </is>
      </c>
      <c r="B9319">
        <f>VLOOKUP(1114,Requirements!A2:B2967,2,FALSE)</f>
        <v/>
      </c>
    </row>
    <row r="9320">
      <c r="A9320" t="inlineStr">
        <is>
          <t xml:space="preserve">outside light </t>
        </is>
      </c>
      <c r="B9320">
        <f>VLOOKUP(1497,Requirements!A2:B2967,2,FALSE)</f>
        <v/>
      </c>
    </row>
    <row r="9321">
      <c r="A9321" t="inlineStr">
        <is>
          <t xml:space="preserve">outside light </t>
        </is>
      </c>
      <c r="B9321">
        <f>VLOOKUP(2069,Requirements!A2:B2967,2,FALSE)</f>
        <v/>
      </c>
    </row>
    <row r="9322">
      <c r="A9322" t="inlineStr">
        <is>
          <t xml:space="preserve">outside light </t>
        </is>
      </c>
      <c r="B9322">
        <f>VLOOKUP(2988,Requirements!A2:B2967,2,FALSE)</f>
        <v/>
      </c>
    </row>
    <row r="9323">
      <c r="A9323" t="inlineStr">
        <is>
          <t xml:space="preserve">bright </t>
        </is>
      </c>
      <c r="B9323">
        <f>VLOOKUP(287,Requirements!A2:B2967,2,FALSE)</f>
        <v/>
      </c>
    </row>
    <row r="9324">
      <c r="A9324" t="inlineStr">
        <is>
          <t xml:space="preserve">bright </t>
        </is>
      </c>
      <c r="B9324">
        <f>VLOOKUP(1862,Requirements!A2:B2967,2,FALSE)</f>
        <v/>
      </c>
    </row>
    <row r="9325">
      <c r="A9325" t="inlineStr">
        <is>
          <t xml:space="preserve">bright </t>
        </is>
      </c>
      <c r="B9325">
        <f>VLOOKUP(2295,Requirements!A2:B2967,2,FALSE)</f>
        <v/>
      </c>
    </row>
    <row r="9326">
      <c r="A9326" t="inlineStr">
        <is>
          <t xml:space="preserve">bright </t>
        </is>
      </c>
      <c r="B9326">
        <f>VLOOKUP(2793,Requirements!A2:B2967,2,FALSE)</f>
        <v/>
      </c>
    </row>
    <row r="9327">
      <c r="A9327" t="inlineStr">
        <is>
          <t xml:space="preserve">bright </t>
        </is>
      </c>
      <c r="B9327">
        <f>VLOOKUP(3195,Requirements!A2:B2967,2,FALSE)</f>
        <v/>
      </c>
    </row>
    <row r="9328">
      <c r="A9328" t="inlineStr">
        <is>
          <t xml:space="preserve">health problem </t>
        </is>
      </c>
      <c r="B9328">
        <f>VLOOKUP(290,Requirements!A2:B2967,2,FALSE)</f>
        <v/>
      </c>
    </row>
    <row r="9329">
      <c r="A9329" t="inlineStr">
        <is>
          <t xml:space="preserve">health problem </t>
        </is>
      </c>
      <c r="B9329">
        <f>VLOOKUP(487,Requirements!A2:B2967,2,FALSE)</f>
        <v/>
      </c>
    </row>
    <row r="9330">
      <c r="A9330" t="inlineStr">
        <is>
          <t xml:space="preserve">health problem </t>
        </is>
      </c>
      <c r="B9330">
        <f>VLOOKUP(837,Requirements!A2:B2967,2,FALSE)</f>
        <v/>
      </c>
    </row>
    <row r="9331">
      <c r="A9331" t="inlineStr">
        <is>
          <t xml:space="preserve">health problem </t>
        </is>
      </c>
      <c r="B9331">
        <f>VLOOKUP(854,Requirements!A2:B2967,2,FALSE)</f>
        <v/>
      </c>
    </row>
    <row r="9332">
      <c r="A9332" t="inlineStr">
        <is>
          <t xml:space="preserve">health problem </t>
        </is>
      </c>
      <c r="B9332">
        <f>VLOOKUP(952,Requirements!A2:B2967,2,FALSE)</f>
        <v/>
      </c>
    </row>
    <row r="9333">
      <c r="A9333" t="inlineStr">
        <is>
          <t xml:space="preserve">fixed </t>
        </is>
      </c>
      <c r="B9333">
        <f>VLOOKUP(303,Requirements!A2:B2967,2,FALSE)</f>
        <v/>
      </c>
    </row>
    <row r="9334">
      <c r="A9334" t="inlineStr">
        <is>
          <t xml:space="preserve">fixed </t>
        </is>
      </c>
      <c r="B9334">
        <f>VLOOKUP(623,Requirements!A2:B2967,2,FALSE)</f>
        <v/>
      </c>
    </row>
    <row r="9335">
      <c r="A9335" t="inlineStr">
        <is>
          <t xml:space="preserve">fixed </t>
        </is>
      </c>
      <c r="B9335">
        <f>VLOOKUP(694,Requirements!A2:B2967,2,FALSE)</f>
        <v/>
      </c>
    </row>
    <row r="9336">
      <c r="A9336" t="inlineStr">
        <is>
          <t xml:space="preserve">fixed </t>
        </is>
      </c>
      <c r="B9336">
        <f>VLOOKUP(1779,Requirements!A2:B2967,2,FALSE)</f>
        <v/>
      </c>
    </row>
    <row r="9337">
      <c r="A9337" t="inlineStr">
        <is>
          <t xml:space="preserve">fixed </t>
        </is>
      </c>
      <c r="B9337">
        <f>VLOOKUP(2477,Requirements!A2:B2967,2,FALSE)</f>
        <v/>
      </c>
    </row>
    <row r="9338">
      <c r="A9338" t="inlineStr">
        <is>
          <t xml:space="preserve">presence </t>
        </is>
      </c>
      <c r="B9338">
        <f>VLOOKUP(306,Requirements!A2:B2967,2,FALSE)</f>
        <v/>
      </c>
    </row>
    <row r="9339">
      <c r="A9339" t="inlineStr">
        <is>
          <t xml:space="preserve">presence </t>
        </is>
      </c>
      <c r="B9339">
        <f>VLOOKUP(320,Requirements!A2:B2967,2,FALSE)</f>
        <v/>
      </c>
    </row>
    <row r="9340">
      <c r="A9340" t="inlineStr">
        <is>
          <t xml:space="preserve">presence </t>
        </is>
      </c>
      <c r="B9340">
        <f>VLOOKUP(1115,Requirements!A2:B2967,2,FALSE)</f>
        <v/>
      </c>
    </row>
    <row r="9341">
      <c r="A9341" t="inlineStr">
        <is>
          <t xml:space="preserve">presence </t>
        </is>
      </c>
      <c r="B9341">
        <f>VLOOKUP(1495,Requirements!A2:B2967,2,FALSE)</f>
        <v/>
      </c>
    </row>
    <row r="9342">
      <c r="A9342" t="inlineStr">
        <is>
          <t xml:space="preserve">presence </t>
        </is>
      </c>
      <c r="B9342">
        <f>VLOOKUP(1502,Requirements!A2:B2967,2,FALSE)</f>
        <v/>
      </c>
    </row>
    <row r="9343">
      <c r="A9343" t="inlineStr">
        <is>
          <t xml:space="preserve">presence </t>
        </is>
      </c>
      <c r="B9343">
        <f>VLOOKUP(1663,Requirements!A2:B2967,2,FALSE)</f>
        <v/>
      </c>
    </row>
    <row r="9344">
      <c r="A9344" t="inlineStr">
        <is>
          <t xml:space="preserve">presence </t>
        </is>
      </c>
      <c r="B9344">
        <f>VLOOKUP(1681,Requirements!A2:B2967,2,FALSE)</f>
        <v/>
      </c>
    </row>
    <row r="9345">
      <c r="A9345" t="inlineStr">
        <is>
          <t xml:space="preserve">presence </t>
        </is>
      </c>
      <c r="B9345">
        <f>VLOOKUP(2736,Requirements!A2:B2967,2,FALSE)</f>
        <v/>
      </c>
    </row>
    <row r="9346">
      <c r="A9346" t="inlineStr">
        <is>
          <t xml:space="preserve">refrigerator </t>
        </is>
      </c>
      <c r="B9346">
        <f>VLOOKUP(307,Requirements!A2:B2967,2,FALSE)</f>
        <v/>
      </c>
    </row>
    <row r="9347">
      <c r="A9347" t="inlineStr">
        <is>
          <t xml:space="preserve">refrigerator </t>
        </is>
      </c>
      <c r="B9347">
        <f>VLOOKUP(310,Requirements!A2:B2967,2,FALSE)</f>
        <v/>
      </c>
    </row>
    <row r="9348">
      <c r="A9348" t="inlineStr">
        <is>
          <t xml:space="preserve">refrigerator </t>
        </is>
      </c>
      <c r="B9348">
        <f>VLOOKUP(381,Requirements!A2:B2967,2,FALSE)</f>
        <v/>
      </c>
    </row>
    <row r="9349">
      <c r="A9349" t="inlineStr">
        <is>
          <t xml:space="preserve">refrigerator </t>
        </is>
      </c>
      <c r="B9349">
        <f>VLOOKUP(573,Requirements!A2:B2967,2,FALSE)</f>
        <v/>
      </c>
    </row>
    <row r="9350">
      <c r="A9350" t="inlineStr">
        <is>
          <t xml:space="preserve">refrigerator </t>
        </is>
      </c>
      <c r="B9350">
        <f>VLOOKUP(643,Requirements!A2:B2967,2,FALSE)</f>
        <v/>
      </c>
    </row>
    <row r="9351">
      <c r="A9351" t="inlineStr">
        <is>
          <t xml:space="preserve">refrigerator </t>
        </is>
      </c>
      <c r="B9351">
        <f>VLOOKUP(690,Requirements!A2:B2967,2,FALSE)</f>
        <v/>
      </c>
    </row>
    <row r="9352">
      <c r="A9352" t="inlineStr">
        <is>
          <t xml:space="preserve">refrigerator </t>
        </is>
      </c>
      <c r="B9352">
        <f>VLOOKUP(732,Requirements!A2:B2967,2,FALSE)</f>
        <v/>
      </c>
    </row>
    <row r="9353">
      <c r="A9353" t="inlineStr">
        <is>
          <t xml:space="preserve">refrigerator </t>
        </is>
      </c>
      <c r="B9353">
        <f>VLOOKUP(742,Requirements!A2:B2967,2,FALSE)</f>
        <v/>
      </c>
    </row>
    <row r="9354">
      <c r="A9354" t="inlineStr">
        <is>
          <t xml:space="preserve">refrigerator </t>
        </is>
      </c>
      <c r="B9354">
        <f>VLOOKUP(791,Requirements!A2:B2967,2,FALSE)</f>
        <v/>
      </c>
    </row>
    <row r="9355">
      <c r="A9355" t="inlineStr">
        <is>
          <t xml:space="preserve">refrigerator </t>
        </is>
      </c>
      <c r="B9355">
        <f>VLOOKUP(909,Requirements!A2:B2967,2,FALSE)</f>
        <v/>
      </c>
    </row>
    <row r="9356">
      <c r="A9356" t="inlineStr">
        <is>
          <t xml:space="preserve">refrigerator </t>
        </is>
      </c>
      <c r="B9356">
        <f>VLOOKUP(1088,Requirements!A2:B2967,2,FALSE)</f>
        <v/>
      </c>
    </row>
    <row r="9357">
      <c r="A9357" t="inlineStr">
        <is>
          <t xml:space="preserve">refrigerator </t>
        </is>
      </c>
      <c r="B9357">
        <f>VLOOKUP(1126,Requirements!A2:B2967,2,FALSE)</f>
        <v/>
      </c>
    </row>
    <row r="9358">
      <c r="A9358" t="inlineStr">
        <is>
          <t xml:space="preserve">refrigerator </t>
        </is>
      </c>
      <c r="B9358">
        <f>VLOOKUP(1204,Requirements!A2:B2967,2,FALSE)</f>
        <v/>
      </c>
    </row>
    <row r="9359">
      <c r="A9359" t="inlineStr">
        <is>
          <t xml:space="preserve">refrigerator </t>
        </is>
      </c>
      <c r="B9359">
        <f>VLOOKUP(1206,Requirements!A2:B2967,2,FALSE)</f>
        <v/>
      </c>
    </row>
    <row r="9360">
      <c r="A9360" t="inlineStr">
        <is>
          <t xml:space="preserve">refrigerator </t>
        </is>
      </c>
      <c r="B9360">
        <f>VLOOKUP(1284,Requirements!A2:B2967,2,FALSE)</f>
        <v/>
      </c>
    </row>
    <row r="9361">
      <c r="A9361" t="inlineStr">
        <is>
          <t xml:space="preserve">refrigerator </t>
        </is>
      </c>
      <c r="B9361">
        <f>VLOOKUP(1298,Requirements!A2:B2967,2,FALSE)</f>
        <v/>
      </c>
    </row>
    <row r="9362">
      <c r="A9362" t="inlineStr">
        <is>
          <t xml:space="preserve">refrigerator </t>
        </is>
      </c>
      <c r="B9362">
        <f>VLOOKUP(1416,Requirements!A2:B2967,2,FALSE)</f>
        <v/>
      </c>
    </row>
    <row r="9363">
      <c r="A9363" t="inlineStr">
        <is>
          <t xml:space="preserve">refrigerator </t>
        </is>
      </c>
      <c r="B9363">
        <f>VLOOKUP(1492,Requirements!A2:B2967,2,FALSE)</f>
        <v/>
      </c>
    </row>
    <row r="9364">
      <c r="A9364" t="inlineStr">
        <is>
          <t xml:space="preserve">refrigerator </t>
        </is>
      </c>
      <c r="B9364">
        <f>VLOOKUP(1604,Requirements!A2:B2967,2,FALSE)</f>
        <v/>
      </c>
    </row>
    <row r="9365">
      <c r="A9365" t="inlineStr">
        <is>
          <t xml:space="preserve">refrigerator </t>
        </is>
      </c>
      <c r="B9365">
        <f>VLOOKUP(1641,Requirements!A2:B2967,2,FALSE)</f>
        <v/>
      </c>
    </row>
    <row r="9366">
      <c r="A9366" t="inlineStr">
        <is>
          <t xml:space="preserve">refrigerator </t>
        </is>
      </c>
      <c r="B9366">
        <f>VLOOKUP(2050,Requirements!A2:B2967,2,FALSE)</f>
        <v/>
      </c>
    </row>
    <row r="9367">
      <c r="A9367" t="inlineStr">
        <is>
          <t xml:space="preserve">refrigerator </t>
        </is>
      </c>
      <c r="B9367">
        <f>VLOOKUP(2074,Requirements!A2:B2967,2,FALSE)</f>
        <v/>
      </c>
    </row>
    <row r="9368">
      <c r="A9368" t="inlineStr">
        <is>
          <t xml:space="preserve">refrigerator </t>
        </is>
      </c>
      <c r="B9368">
        <f>VLOOKUP(2101,Requirements!A2:B2967,2,FALSE)</f>
        <v/>
      </c>
    </row>
    <row r="9369">
      <c r="A9369" t="inlineStr">
        <is>
          <t xml:space="preserve">refrigerator </t>
        </is>
      </c>
      <c r="B9369">
        <f>VLOOKUP(2117,Requirements!A2:B2967,2,FALSE)</f>
        <v/>
      </c>
    </row>
    <row r="9370">
      <c r="A9370" t="inlineStr">
        <is>
          <t xml:space="preserve">refrigerator </t>
        </is>
      </c>
      <c r="B9370">
        <f>VLOOKUP(2218,Requirements!A2:B2967,2,FALSE)</f>
        <v/>
      </c>
    </row>
    <row r="9371">
      <c r="A9371" t="inlineStr">
        <is>
          <t xml:space="preserve">refrigerator </t>
        </is>
      </c>
      <c r="B9371">
        <f>VLOOKUP(2238,Requirements!A2:B2967,2,FALSE)</f>
        <v/>
      </c>
    </row>
    <row r="9372">
      <c r="A9372" t="inlineStr">
        <is>
          <t xml:space="preserve">refrigerator </t>
        </is>
      </c>
      <c r="B9372">
        <f>VLOOKUP(2359,Requirements!A2:B2967,2,FALSE)</f>
        <v/>
      </c>
    </row>
    <row r="9373">
      <c r="A9373" t="inlineStr">
        <is>
          <t xml:space="preserve">refrigerator </t>
        </is>
      </c>
      <c r="B9373">
        <f>VLOOKUP(2377,Requirements!A2:B2967,2,FALSE)</f>
        <v/>
      </c>
    </row>
    <row r="9374">
      <c r="A9374" t="inlineStr">
        <is>
          <t xml:space="preserve">refrigerator </t>
        </is>
      </c>
      <c r="B9374">
        <f>VLOOKUP(2426,Requirements!A2:B2967,2,FALSE)</f>
        <v/>
      </c>
    </row>
    <row r="9375">
      <c r="A9375" t="inlineStr">
        <is>
          <t xml:space="preserve">refrigerator </t>
        </is>
      </c>
      <c r="B9375">
        <f>VLOOKUP(2483,Requirements!A2:B2967,2,FALSE)</f>
        <v/>
      </c>
    </row>
    <row r="9376">
      <c r="A9376" t="inlineStr">
        <is>
          <t xml:space="preserve">refrigerator </t>
        </is>
      </c>
      <c r="B9376">
        <f>VLOOKUP(2604,Requirements!A2:B2967,2,FALSE)</f>
        <v/>
      </c>
    </row>
    <row r="9377">
      <c r="A9377" t="inlineStr">
        <is>
          <t xml:space="preserve">refrigerator </t>
        </is>
      </c>
      <c r="B9377">
        <f>VLOOKUP(2735,Requirements!A2:B2967,2,FALSE)</f>
        <v/>
      </c>
    </row>
    <row r="9378">
      <c r="A9378" t="inlineStr">
        <is>
          <t xml:space="preserve">refrigerator </t>
        </is>
      </c>
      <c r="B9378">
        <f>VLOOKUP(2749,Requirements!A2:B2967,2,FALSE)</f>
        <v/>
      </c>
    </row>
    <row r="9379">
      <c r="A9379" t="inlineStr">
        <is>
          <t xml:space="preserve">refrigerator </t>
        </is>
      </c>
      <c r="B9379">
        <f>VLOOKUP(2886,Requirements!A2:B2967,2,FALSE)</f>
        <v/>
      </c>
    </row>
    <row r="9380">
      <c r="A9380" t="inlineStr">
        <is>
          <t xml:space="preserve">refrigerator </t>
        </is>
      </c>
      <c r="B9380">
        <f>VLOOKUP(3139,Requirements!A2:B2967,2,FALSE)</f>
        <v/>
      </c>
    </row>
    <row r="9381">
      <c r="A9381" t="inlineStr">
        <is>
          <t xml:space="preserve">change </t>
        </is>
      </c>
      <c r="B9381">
        <f>VLOOKUP(308,Requirements!A2:B2967,2,FALSE)</f>
        <v/>
      </c>
    </row>
    <row r="9382">
      <c r="A9382" t="inlineStr">
        <is>
          <t xml:space="preserve">change </t>
        </is>
      </c>
      <c r="B9382">
        <f>VLOOKUP(1311,Requirements!A2:B2967,2,FALSE)</f>
        <v/>
      </c>
    </row>
    <row r="9383">
      <c r="A9383" t="inlineStr">
        <is>
          <t xml:space="preserve">change </t>
        </is>
      </c>
      <c r="B9383">
        <f>VLOOKUP(1429,Requirements!A2:B2967,2,FALSE)</f>
        <v/>
      </c>
    </row>
    <row r="9384">
      <c r="A9384" t="inlineStr">
        <is>
          <t xml:space="preserve">change </t>
        </is>
      </c>
      <c r="B9384">
        <f>VLOOKUP(1563,Requirements!A2:B2967,2,FALSE)</f>
        <v/>
      </c>
    </row>
    <row r="9385">
      <c r="A9385" t="inlineStr">
        <is>
          <t xml:space="preserve">change </t>
        </is>
      </c>
      <c r="B9385">
        <f>VLOOKUP(1572,Requirements!A2:B2967,2,FALSE)</f>
        <v/>
      </c>
    </row>
    <row r="9386">
      <c r="A9386" t="inlineStr">
        <is>
          <t xml:space="preserve">change </t>
        </is>
      </c>
      <c r="B9386">
        <f>VLOOKUP(1626,Requirements!A2:B2967,2,FALSE)</f>
        <v/>
      </c>
    </row>
    <row r="9387">
      <c r="A9387" t="inlineStr">
        <is>
          <t xml:space="preserve">change </t>
        </is>
      </c>
      <c r="B9387">
        <f>VLOOKUP(1783,Requirements!A2:B2967,2,FALSE)</f>
        <v/>
      </c>
    </row>
    <row r="9388">
      <c r="A9388" t="inlineStr">
        <is>
          <t xml:space="preserve">change </t>
        </is>
      </c>
      <c r="B9388">
        <f>VLOOKUP(1824,Requirements!A2:B2967,2,FALSE)</f>
        <v/>
      </c>
    </row>
    <row r="9389">
      <c r="A9389" t="inlineStr">
        <is>
          <t xml:space="preserve">change </t>
        </is>
      </c>
      <c r="B9389">
        <f>VLOOKUP(1862,Requirements!A2:B2967,2,FALSE)</f>
        <v/>
      </c>
    </row>
    <row r="9390">
      <c r="A9390" t="inlineStr">
        <is>
          <t xml:space="preserve">change </t>
        </is>
      </c>
      <c r="B9390">
        <f>VLOOKUP(1980,Requirements!A2:B2967,2,FALSE)</f>
        <v/>
      </c>
    </row>
    <row r="9391">
      <c r="A9391" t="inlineStr">
        <is>
          <t xml:space="preserve">change </t>
        </is>
      </c>
      <c r="B9391">
        <f>VLOOKUP(2281,Requirements!A2:B2967,2,FALSE)</f>
        <v/>
      </c>
    </row>
    <row r="9392">
      <c r="A9392" t="inlineStr">
        <is>
          <t xml:space="preserve">change </t>
        </is>
      </c>
      <c r="B9392">
        <f>VLOOKUP(2868,Requirements!A2:B2967,2,FALSE)</f>
        <v/>
      </c>
    </row>
    <row r="9393">
      <c r="A9393" t="inlineStr">
        <is>
          <t xml:space="preserve">change </t>
        </is>
      </c>
      <c r="B9393">
        <f>VLOOKUP(2939,Requirements!A2:B2967,2,FALSE)</f>
        <v/>
      </c>
    </row>
    <row r="9394">
      <c r="A9394" t="inlineStr">
        <is>
          <t xml:space="preserve">list </t>
        </is>
      </c>
      <c r="B9394">
        <f>VLOOKUP(315,Requirements!A2:B2967,2,FALSE)</f>
        <v/>
      </c>
    </row>
    <row r="9395">
      <c r="A9395" t="inlineStr">
        <is>
          <t xml:space="preserve">list </t>
        </is>
      </c>
      <c r="B9395">
        <f>VLOOKUP(339,Requirements!A2:B2967,2,FALSE)</f>
        <v/>
      </c>
    </row>
    <row r="9396">
      <c r="A9396" t="inlineStr">
        <is>
          <t xml:space="preserve">list </t>
        </is>
      </c>
      <c r="B9396">
        <f>VLOOKUP(742,Requirements!A2:B2967,2,FALSE)</f>
        <v/>
      </c>
    </row>
    <row r="9397">
      <c r="A9397" t="inlineStr">
        <is>
          <t xml:space="preserve">list </t>
        </is>
      </c>
      <c r="B9397">
        <f>VLOOKUP(927,Requirements!A2:B2967,2,FALSE)</f>
        <v/>
      </c>
    </row>
    <row r="9398">
      <c r="A9398" t="inlineStr">
        <is>
          <t xml:space="preserve">list </t>
        </is>
      </c>
      <c r="B9398">
        <f>VLOOKUP(1050,Requirements!A2:B2967,2,FALSE)</f>
        <v/>
      </c>
    </row>
    <row r="9399">
      <c r="A9399" t="inlineStr">
        <is>
          <t xml:space="preserve">list </t>
        </is>
      </c>
      <c r="B9399">
        <f>VLOOKUP(1056,Requirements!A2:B2967,2,FALSE)</f>
        <v/>
      </c>
    </row>
    <row r="9400">
      <c r="A9400" t="inlineStr">
        <is>
          <t xml:space="preserve">list </t>
        </is>
      </c>
      <c r="B9400">
        <f>VLOOKUP(1059,Requirements!A2:B2967,2,FALSE)</f>
        <v/>
      </c>
    </row>
    <row r="9401">
      <c r="A9401" t="inlineStr">
        <is>
          <t xml:space="preserve">list </t>
        </is>
      </c>
      <c r="B9401">
        <f>VLOOKUP(1311,Requirements!A2:B2967,2,FALSE)</f>
        <v/>
      </c>
    </row>
    <row r="9402">
      <c r="A9402" t="inlineStr">
        <is>
          <t xml:space="preserve">list </t>
        </is>
      </c>
      <c r="B9402">
        <f>VLOOKUP(1397,Requirements!A2:B2967,2,FALSE)</f>
        <v/>
      </c>
    </row>
    <row r="9403">
      <c r="A9403" t="inlineStr">
        <is>
          <t xml:space="preserve">list </t>
        </is>
      </c>
      <c r="B9403">
        <f>VLOOKUP(1605,Requirements!A2:B2967,2,FALSE)</f>
        <v/>
      </c>
    </row>
    <row r="9404">
      <c r="A9404" t="inlineStr">
        <is>
          <t xml:space="preserve">list </t>
        </is>
      </c>
      <c r="B9404">
        <f>VLOOKUP(1771,Requirements!A2:B2967,2,FALSE)</f>
        <v/>
      </c>
    </row>
    <row r="9405">
      <c r="A9405" t="inlineStr">
        <is>
          <t xml:space="preserve">list </t>
        </is>
      </c>
      <c r="B9405">
        <f>VLOOKUP(1869,Requirements!A2:B2967,2,FALSE)</f>
        <v/>
      </c>
    </row>
    <row r="9406">
      <c r="A9406" t="inlineStr">
        <is>
          <t xml:space="preserve">list </t>
        </is>
      </c>
      <c r="B9406">
        <f>VLOOKUP(2091,Requirements!A2:B2967,2,FALSE)</f>
        <v/>
      </c>
    </row>
    <row r="9407">
      <c r="A9407" t="inlineStr">
        <is>
          <t xml:space="preserve">list </t>
        </is>
      </c>
      <c r="B9407">
        <f>VLOOKUP(2134,Requirements!A2:B2967,2,FALSE)</f>
        <v/>
      </c>
    </row>
    <row r="9408">
      <c r="A9408" t="inlineStr">
        <is>
          <t xml:space="preserve">list </t>
        </is>
      </c>
      <c r="B9408">
        <f>VLOOKUP(2386,Requirements!A2:B2967,2,FALSE)</f>
        <v/>
      </c>
    </row>
    <row r="9409">
      <c r="A9409" t="inlineStr">
        <is>
          <t xml:space="preserve">list </t>
        </is>
      </c>
      <c r="B9409">
        <f>VLOOKUP(2596,Requirements!A2:B2967,2,FALSE)</f>
        <v/>
      </c>
    </row>
    <row r="9410">
      <c r="A9410" t="inlineStr">
        <is>
          <t xml:space="preserve">list </t>
        </is>
      </c>
      <c r="B9410">
        <f>VLOOKUP(2938,Requirements!A2:B2967,2,FALSE)</f>
        <v/>
      </c>
    </row>
    <row r="9411">
      <c r="A9411" t="inlineStr">
        <is>
          <t xml:space="preserve">list </t>
        </is>
      </c>
      <c r="B9411">
        <f>VLOOKUP(2992,Requirements!A2:B2967,2,FALSE)</f>
        <v/>
      </c>
    </row>
    <row r="9412">
      <c r="A9412" t="inlineStr">
        <is>
          <t xml:space="preserve">list </t>
        </is>
      </c>
      <c r="B9412">
        <f>VLOOKUP(3023,Requirements!A2:B2967,2,FALSE)</f>
        <v/>
      </c>
    </row>
    <row r="9413">
      <c r="A9413" t="inlineStr">
        <is>
          <t xml:space="preserve">hand </t>
        </is>
      </c>
      <c r="B9413">
        <f>VLOOKUP(315,Requirements!A2:B2967,2,FALSE)</f>
        <v/>
      </c>
    </row>
    <row r="9414">
      <c r="A9414" t="inlineStr">
        <is>
          <t xml:space="preserve">hand </t>
        </is>
      </c>
      <c r="B9414">
        <f>VLOOKUP(413,Requirements!A2:B2967,2,FALSE)</f>
        <v/>
      </c>
    </row>
    <row r="9415">
      <c r="A9415" t="inlineStr">
        <is>
          <t xml:space="preserve">hand </t>
        </is>
      </c>
      <c r="B9415">
        <f>VLOOKUP(791,Requirements!A2:B2967,2,FALSE)</f>
        <v/>
      </c>
    </row>
    <row r="9416">
      <c r="A9416" t="inlineStr">
        <is>
          <t xml:space="preserve">hand </t>
        </is>
      </c>
      <c r="B9416">
        <f>VLOOKUP(842,Requirements!A2:B2967,2,FALSE)</f>
        <v/>
      </c>
    </row>
    <row r="9417">
      <c r="A9417" t="inlineStr">
        <is>
          <t xml:space="preserve">hand </t>
        </is>
      </c>
      <c r="B9417">
        <f>VLOOKUP(1039,Requirements!A2:B2967,2,FALSE)</f>
        <v/>
      </c>
    </row>
    <row r="9418">
      <c r="A9418" t="inlineStr">
        <is>
          <t xml:space="preserve">hand </t>
        </is>
      </c>
      <c r="B9418">
        <f>VLOOKUP(1208,Requirements!A2:B2967,2,FALSE)</f>
        <v/>
      </c>
    </row>
    <row r="9419">
      <c r="A9419" t="inlineStr">
        <is>
          <t xml:space="preserve">hand </t>
        </is>
      </c>
      <c r="B9419">
        <f>VLOOKUP(1238,Requirements!A2:B2967,2,FALSE)</f>
        <v/>
      </c>
    </row>
    <row r="9420">
      <c r="A9420" t="inlineStr">
        <is>
          <t xml:space="preserve">hand </t>
        </is>
      </c>
      <c r="B9420">
        <f>VLOOKUP(1615,Requirements!A2:B2967,2,FALSE)</f>
        <v/>
      </c>
    </row>
    <row r="9421">
      <c r="A9421" t="inlineStr">
        <is>
          <t xml:space="preserve">hand </t>
        </is>
      </c>
      <c r="B9421">
        <f>VLOOKUP(2296,Requirements!A2:B2967,2,FALSE)</f>
        <v/>
      </c>
    </row>
    <row r="9422">
      <c r="A9422" t="inlineStr">
        <is>
          <t xml:space="preserve">hand </t>
        </is>
      </c>
      <c r="B9422">
        <f>VLOOKUP(2385,Requirements!A2:B2967,2,FALSE)</f>
        <v/>
      </c>
    </row>
    <row r="9423">
      <c r="A9423" t="inlineStr">
        <is>
          <t xml:space="preserve">hand </t>
        </is>
      </c>
      <c r="B9423">
        <f>VLOOKUP(2880,Requirements!A2:B2967,2,FALSE)</f>
        <v/>
      </c>
    </row>
    <row r="9424">
      <c r="A9424" t="inlineStr">
        <is>
          <t xml:space="preserve">shopping list </t>
        </is>
      </c>
      <c r="B9424">
        <f>VLOOKUP(315,Requirements!A2:B2967,2,FALSE)</f>
        <v/>
      </c>
    </row>
    <row r="9425">
      <c r="A9425" t="inlineStr">
        <is>
          <t xml:space="preserve">shopping list </t>
        </is>
      </c>
      <c r="B9425">
        <f>VLOOKUP(797,Requirements!A2:B2967,2,FALSE)</f>
        <v/>
      </c>
    </row>
    <row r="9426">
      <c r="A9426" t="inlineStr">
        <is>
          <t xml:space="preserve">shopping list </t>
        </is>
      </c>
      <c r="B9426">
        <f>VLOOKUP(847,Requirements!A2:B2967,2,FALSE)</f>
        <v/>
      </c>
    </row>
    <row r="9427">
      <c r="A9427" t="inlineStr">
        <is>
          <t xml:space="preserve">shopping list </t>
        </is>
      </c>
      <c r="B9427">
        <f>VLOOKUP(852,Requirements!A2:B2967,2,FALSE)</f>
        <v/>
      </c>
    </row>
    <row r="9428">
      <c r="A9428" t="inlineStr">
        <is>
          <t xml:space="preserve">shopping list </t>
        </is>
      </c>
      <c r="B9428">
        <f>VLOOKUP(1204,Requirements!A2:B2967,2,FALSE)</f>
        <v/>
      </c>
    </row>
    <row r="9429">
      <c r="A9429" t="inlineStr">
        <is>
          <t xml:space="preserve">shopping list </t>
        </is>
      </c>
      <c r="B9429">
        <f>VLOOKUP(2596,Requirements!A2:B2967,2,FALSE)</f>
        <v/>
      </c>
    </row>
    <row r="9430">
      <c r="A9430" t="inlineStr">
        <is>
          <t xml:space="preserve">phone </t>
        </is>
      </c>
      <c r="B9430">
        <f>VLOOKUP(315,Requirements!A2:B2967,2,FALSE)</f>
        <v/>
      </c>
    </row>
    <row r="9431">
      <c r="A9431" t="inlineStr">
        <is>
          <t xml:space="preserve">phone </t>
        </is>
      </c>
      <c r="B9431">
        <f>VLOOKUP(352,Requirements!A2:B2967,2,FALSE)</f>
        <v/>
      </c>
    </row>
    <row r="9432">
      <c r="A9432" t="inlineStr">
        <is>
          <t xml:space="preserve">phone </t>
        </is>
      </c>
      <c r="B9432">
        <f>VLOOKUP(356,Requirements!A2:B2967,2,FALSE)</f>
        <v/>
      </c>
    </row>
    <row r="9433">
      <c r="A9433" t="inlineStr">
        <is>
          <t xml:space="preserve">phone </t>
        </is>
      </c>
      <c r="B9433">
        <f>VLOOKUP(386,Requirements!A2:B2967,2,FALSE)</f>
        <v/>
      </c>
    </row>
    <row r="9434">
      <c r="A9434" t="inlineStr">
        <is>
          <t xml:space="preserve">phone </t>
        </is>
      </c>
      <c r="B9434">
        <f>VLOOKUP(399,Requirements!A2:B2967,2,FALSE)</f>
        <v/>
      </c>
    </row>
    <row r="9435">
      <c r="A9435" t="inlineStr">
        <is>
          <t xml:space="preserve">phone </t>
        </is>
      </c>
      <c r="B9435">
        <f>VLOOKUP(407,Requirements!A2:B2967,2,FALSE)</f>
        <v/>
      </c>
    </row>
    <row r="9436">
      <c r="A9436" t="inlineStr">
        <is>
          <t xml:space="preserve">phone </t>
        </is>
      </c>
      <c r="B9436">
        <f>VLOOKUP(412,Requirements!A2:B2967,2,FALSE)</f>
        <v/>
      </c>
    </row>
    <row r="9437">
      <c r="A9437" t="inlineStr">
        <is>
          <t xml:space="preserve">phone </t>
        </is>
      </c>
      <c r="B9437">
        <f>VLOOKUP(494,Requirements!A2:B2967,2,FALSE)</f>
        <v/>
      </c>
    </row>
    <row r="9438">
      <c r="A9438" t="inlineStr">
        <is>
          <t xml:space="preserve">phone </t>
        </is>
      </c>
      <c r="B9438">
        <f>VLOOKUP(509,Requirements!A2:B2967,2,FALSE)</f>
        <v/>
      </c>
    </row>
    <row r="9439">
      <c r="A9439" t="inlineStr">
        <is>
          <t xml:space="preserve">phone </t>
        </is>
      </c>
      <c r="B9439">
        <f>VLOOKUP(537,Requirements!A2:B2967,2,FALSE)</f>
        <v/>
      </c>
    </row>
    <row r="9440">
      <c r="A9440" t="inlineStr">
        <is>
          <t xml:space="preserve">phone </t>
        </is>
      </c>
      <c r="B9440">
        <f>VLOOKUP(555,Requirements!A2:B2967,2,FALSE)</f>
        <v/>
      </c>
    </row>
    <row r="9441">
      <c r="A9441" t="inlineStr">
        <is>
          <t xml:space="preserve">phone </t>
        </is>
      </c>
      <c r="B9441">
        <f>VLOOKUP(557,Requirements!A2:B2967,2,FALSE)</f>
        <v/>
      </c>
    </row>
    <row r="9442">
      <c r="A9442" t="inlineStr">
        <is>
          <t xml:space="preserve">phone </t>
        </is>
      </c>
      <c r="B9442">
        <f>VLOOKUP(558,Requirements!A2:B2967,2,FALSE)</f>
        <v/>
      </c>
    </row>
    <row r="9443">
      <c r="A9443" t="inlineStr">
        <is>
          <t xml:space="preserve">phone </t>
        </is>
      </c>
      <c r="B9443">
        <f>VLOOKUP(561,Requirements!A2:B2967,2,FALSE)</f>
        <v/>
      </c>
    </row>
    <row r="9444">
      <c r="A9444" t="inlineStr">
        <is>
          <t xml:space="preserve">phone </t>
        </is>
      </c>
      <c r="B9444">
        <f>VLOOKUP(575,Requirements!A2:B2967,2,FALSE)</f>
        <v/>
      </c>
    </row>
    <row r="9445">
      <c r="A9445" t="inlineStr">
        <is>
          <t xml:space="preserve">phone </t>
        </is>
      </c>
      <c r="B9445">
        <f>VLOOKUP(576,Requirements!A2:B2967,2,FALSE)</f>
        <v/>
      </c>
    </row>
    <row r="9446">
      <c r="A9446" t="inlineStr">
        <is>
          <t xml:space="preserve">phone </t>
        </is>
      </c>
      <c r="B9446">
        <f>VLOOKUP(580,Requirements!A2:B2967,2,FALSE)</f>
        <v/>
      </c>
    </row>
    <row r="9447">
      <c r="A9447" t="inlineStr">
        <is>
          <t xml:space="preserve">phone </t>
        </is>
      </c>
      <c r="B9447">
        <f>VLOOKUP(624,Requirements!A2:B2967,2,FALSE)</f>
        <v/>
      </c>
    </row>
    <row r="9448">
      <c r="A9448" t="inlineStr">
        <is>
          <t xml:space="preserve">phone </t>
        </is>
      </c>
      <c r="B9448">
        <f>VLOOKUP(670,Requirements!A2:B2967,2,FALSE)</f>
        <v/>
      </c>
    </row>
    <row r="9449">
      <c r="A9449" t="inlineStr">
        <is>
          <t xml:space="preserve">phone </t>
        </is>
      </c>
      <c r="B9449">
        <f>VLOOKUP(675,Requirements!A2:B2967,2,FALSE)</f>
        <v/>
      </c>
    </row>
    <row r="9450">
      <c r="A9450" t="inlineStr">
        <is>
          <t xml:space="preserve">phone </t>
        </is>
      </c>
      <c r="B9450">
        <f>VLOOKUP(684,Requirements!A2:B2967,2,FALSE)</f>
        <v/>
      </c>
    </row>
    <row r="9451">
      <c r="A9451" t="inlineStr">
        <is>
          <t xml:space="preserve">phone </t>
        </is>
      </c>
      <c r="B9451">
        <f>VLOOKUP(688,Requirements!A2:B2967,2,FALSE)</f>
        <v/>
      </c>
    </row>
    <row r="9452">
      <c r="A9452" t="inlineStr">
        <is>
          <t xml:space="preserve">phone </t>
        </is>
      </c>
      <c r="B9452">
        <f>VLOOKUP(772,Requirements!A2:B2967,2,FALSE)</f>
        <v/>
      </c>
    </row>
    <row r="9453">
      <c r="A9453" t="inlineStr">
        <is>
          <t xml:space="preserve">phone </t>
        </is>
      </c>
      <c r="B9453">
        <f>VLOOKUP(776,Requirements!A2:B2967,2,FALSE)</f>
        <v/>
      </c>
    </row>
    <row r="9454">
      <c r="A9454" t="inlineStr">
        <is>
          <t xml:space="preserve">phone </t>
        </is>
      </c>
      <c r="B9454">
        <f>VLOOKUP(840,Requirements!A2:B2967,2,FALSE)</f>
        <v/>
      </c>
    </row>
    <row r="9455">
      <c r="A9455" t="inlineStr">
        <is>
          <t xml:space="preserve">phone </t>
        </is>
      </c>
      <c r="B9455">
        <f>VLOOKUP(904,Requirements!A2:B2967,2,FALSE)</f>
        <v/>
      </c>
    </row>
    <row r="9456">
      <c r="A9456" t="inlineStr">
        <is>
          <t xml:space="preserve">phone </t>
        </is>
      </c>
      <c r="B9456">
        <f>VLOOKUP(926,Requirements!A2:B2967,2,FALSE)</f>
        <v/>
      </c>
    </row>
    <row r="9457">
      <c r="A9457" t="inlineStr">
        <is>
          <t xml:space="preserve">phone </t>
        </is>
      </c>
      <c r="B9457">
        <f>VLOOKUP(957,Requirements!A2:B2967,2,FALSE)</f>
        <v/>
      </c>
    </row>
    <row r="9458">
      <c r="A9458" t="inlineStr">
        <is>
          <t xml:space="preserve">phone </t>
        </is>
      </c>
      <c r="B9458">
        <f>VLOOKUP(1072,Requirements!A2:B2967,2,FALSE)</f>
        <v/>
      </c>
    </row>
    <row r="9459">
      <c r="A9459" t="inlineStr">
        <is>
          <t xml:space="preserve">phone </t>
        </is>
      </c>
      <c r="B9459">
        <f>VLOOKUP(1099,Requirements!A2:B2967,2,FALSE)</f>
        <v/>
      </c>
    </row>
    <row r="9460">
      <c r="A9460" t="inlineStr">
        <is>
          <t xml:space="preserve">phone </t>
        </is>
      </c>
      <c r="B9460">
        <f>VLOOKUP(1147,Requirements!A2:B2967,2,FALSE)</f>
        <v/>
      </c>
    </row>
    <row r="9461">
      <c r="A9461" t="inlineStr">
        <is>
          <t xml:space="preserve">phone </t>
        </is>
      </c>
      <c r="B9461">
        <f>VLOOKUP(1182,Requirements!A2:B2967,2,FALSE)</f>
        <v/>
      </c>
    </row>
    <row r="9462">
      <c r="A9462" t="inlineStr">
        <is>
          <t xml:space="preserve">phone </t>
        </is>
      </c>
      <c r="B9462">
        <f>VLOOKUP(1200,Requirements!A2:B2967,2,FALSE)</f>
        <v/>
      </c>
    </row>
    <row r="9463">
      <c r="A9463" t="inlineStr">
        <is>
          <t xml:space="preserve">phone </t>
        </is>
      </c>
      <c r="B9463">
        <f>VLOOKUP(1241,Requirements!A2:B2967,2,FALSE)</f>
        <v/>
      </c>
    </row>
    <row r="9464">
      <c r="A9464" t="inlineStr">
        <is>
          <t xml:space="preserve">phone </t>
        </is>
      </c>
      <c r="B9464">
        <f>VLOOKUP(1387,Requirements!A2:B2967,2,FALSE)</f>
        <v/>
      </c>
    </row>
    <row r="9465">
      <c r="A9465" t="inlineStr">
        <is>
          <t xml:space="preserve">phone </t>
        </is>
      </c>
      <c r="B9465">
        <f>VLOOKUP(1403,Requirements!A2:B2967,2,FALSE)</f>
        <v/>
      </c>
    </row>
    <row r="9466">
      <c r="A9466" t="inlineStr">
        <is>
          <t xml:space="preserve">phone </t>
        </is>
      </c>
      <c r="B9466">
        <f>VLOOKUP(1409,Requirements!A2:B2967,2,FALSE)</f>
        <v/>
      </c>
    </row>
    <row r="9467">
      <c r="A9467" t="inlineStr">
        <is>
          <t xml:space="preserve">phone </t>
        </is>
      </c>
      <c r="B9467">
        <f>VLOOKUP(1427,Requirements!A2:B2967,2,FALSE)</f>
        <v/>
      </c>
    </row>
    <row r="9468">
      <c r="A9468" t="inlineStr">
        <is>
          <t xml:space="preserve">phone </t>
        </is>
      </c>
      <c r="B9468">
        <f>VLOOKUP(1461,Requirements!A2:B2967,2,FALSE)</f>
        <v/>
      </c>
    </row>
    <row r="9469">
      <c r="A9469" t="inlineStr">
        <is>
          <t xml:space="preserve">phone </t>
        </is>
      </c>
      <c r="B9469">
        <f>VLOOKUP(1500,Requirements!A2:B2967,2,FALSE)</f>
        <v/>
      </c>
    </row>
    <row r="9470">
      <c r="A9470" t="inlineStr">
        <is>
          <t xml:space="preserve">phone </t>
        </is>
      </c>
      <c r="B9470">
        <f>VLOOKUP(1513,Requirements!A2:B2967,2,FALSE)</f>
        <v/>
      </c>
    </row>
    <row r="9471">
      <c r="A9471" t="inlineStr">
        <is>
          <t xml:space="preserve">phone </t>
        </is>
      </c>
      <c r="B9471">
        <f>VLOOKUP(1519,Requirements!A2:B2967,2,FALSE)</f>
        <v/>
      </c>
    </row>
    <row r="9472">
      <c r="A9472" t="inlineStr">
        <is>
          <t xml:space="preserve">phone </t>
        </is>
      </c>
      <c r="B9472">
        <f>VLOOKUP(1541,Requirements!A2:B2967,2,FALSE)</f>
        <v/>
      </c>
    </row>
    <row r="9473">
      <c r="A9473" t="inlineStr">
        <is>
          <t xml:space="preserve">phone </t>
        </is>
      </c>
      <c r="B9473">
        <f>VLOOKUP(1581,Requirements!A2:B2967,2,FALSE)</f>
        <v/>
      </c>
    </row>
    <row r="9474">
      <c r="A9474" t="inlineStr">
        <is>
          <t xml:space="preserve">phone </t>
        </is>
      </c>
      <c r="B9474">
        <f>VLOOKUP(1620,Requirements!A2:B2967,2,FALSE)</f>
        <v/>
      </c>
    </row>
    <row r="9475">
      <c r="A9475" t="inlineStr">
        <is>
          <t xml:space="preserve">phone </t>
        </is>
      </c>
      <c r="B9475">
        <f>VLOOKUP(1692,Requirements!A2:B2967,2,FALSE)</f>
        <v/>
      </c>
    </row>
    <row r="9476">
      <c r="A9476" t="inlineStr">
        <is>
          <t xml:space="preserve">phone </t>
        </is>
      </c>
      <c r="B9476">
        <f>VLOOKUP(1693,Requirements!A2:B2967,2,FALSE)</f>
        <v/>
      </c>
    </row>
    <row r="9477">
      <c r="A9477" t="inlineStr">
        <is>
          <t xml:space="preserve">phone </t>
        </is>
      </c>
      <c r="B9477">
        <f>VLOOKUP(1694,Requirements!A2:B2967,2,FALSE)</f>
        <v/>
      </c>
    </row>
    <row r="9478">
      <c r="A9478" t="inlineStr">
        <is>
          <t xml:space="preserve">phone </t>
        </is>
      </c>
      <c r="B9478">
        <f>VLOOKUP(1699,Requirements!A2:B2967,2,FALSE)</f>
        <v/>
      </c>
    </row>
    <row r="9479">
      <c r="A9479" t="inlineStr">
        <is>
          <t xml:space="preserve">phone </t>
        </is>
      </c>
      <c r="B9479">
        <f>VLOOKUP(1754,Requirements!A2:B2967,2,FALSE)</f>
        <v/>
      </c>
    </row>
    <row r="9480">
      <c r="A9480" t="inlineStr">
        <is>
          <t xml:space="preserve">phone </t>
        </is>
      </c>
      <c r="B9480">
        <f>VLOOKUP(1757,Requirements!A2:B2967,2,FALSE)</f>
        <v/>
      </c>
    </row>
    <row r="9481">
      <c r="A9481" t="inlineStr">
        <is>
          <t xml:space="preserve">phone </t>
        </is>
      </c>
      <c r="B9481">
        <f>VLOOKUP(1771,Requirements!A2:B2967,2,FALSE)</f>
        <v/>
      </c>
    </row>
    <row r="9482">
      <c r="A9482" t="inlineStr">
        <is>
          <t xml:space="preserve">phone </t>
        </is>
      </c>
      <c r="B9482">
        <f>VLOOKUP(1774,Requirements!A2:B2967,2,FALSE)</f>
        <v/>
      </c>
    </row>
    <row r="9483">
      <c r="A9483" t="inlineStr">
        <is>
          <t xml:space="preserve">phone </t>
        </is>
      </c>
      <c r="B9483">
        <f>VLOOKUP(1779,Requirements!A2:B2967,2,FALSE)</f>
        <v/>
      </c>
    </row>
    <row r="9484">
      <c r="A9484" t="inlineStr">
        <is>
          <t xml:space="preserve">phone </t>
        </is>
      </c>
      <c r="B9484">
        <f>VLOOKUP(1781,Requirements!A2:B2967,2,FALSE)</f>
        <v/>
      </c>
    </row>
    <row r="9485">
      <c r="A9485" t="inlineStr">
        <is>
          <t xml:space="preserve">phone </t>
        </is>
      </c>
      <c r="B9485">
        <f>VLOOKUP(1783,Requirements!A2:B2967,2,FALSE)</f>
        <v/>
      </c>
    </row>
    <row r="9486">
      <c r="A9486" t="inlineStr">
        <is>
          <t xml:space="preserve">phone </t>
        </is>
      </c>
      <c r="B9486">
        <f>VLOOKUP(1832,Requirements!A2:B2967,2,FALSE)</f>
        <v/>
      </c>
    </row>
    <row r="9487">
      <c r="A9487" t="inlineStr">
        <is>
          <t xml:space="preserve">phone </t>
        </is>
      </c>
      <c r="B9487">
        <f>VLOOKUP(1835,Requirements!A2:B2967,2,FALSE)</f>
        <v/>
      </c>
    </row>
    <row r="9488">
      <c r="A9488" t="inlineStr">
        <is>
          <t xml:space="preserve">phone </t>
        </is>
      </c>
      <c r="B9488">
        <f>VLOOKUP(1842,Requirements!A2:B2967,2,FALSE)</f>
        <v/>
      </c>
    </row>
    <row r="9489">
      <c r="A9489" t="inlineStr">
        <is>
          <t xml:space="preserve">phone </t>
        </is>
      </c>
      <c r="B9489">
        <f>VLOOKUP(1850,Requirements!A2:B2967,2,FALSE)</f>
        <v/>
      </c>
    </row>
    <row r="9490">
      <c r="A9490" t="inlineStr">
        <is>
          <t xml:space="preserve">phone </t>
        </is>
      </c>
      <c r="B9490">
        <f>VLOOKUP(1889,Requirements!A2:B2967,2,FALSE)</f>
        <v/>
      </c>
    </row>
    <row r="9491">
      <c r="A9491" t="inlineStr">
        <is>
          <t xml:space="preserve">phone </t>
        </is>
      </c>
      <c r="B9491">
        <f>VLOOKUP(1956,Requirements!A2:B2967,2,FALSE)</f>
        <v/>
      </c>
    </row>
    <row r="9492">
      <c r="A9492" t="inlineStr">
        <is>
          <t xml:space="preserve">phone </t>
        </is>
      </c>
      <c r="B9492">
        <f>VLOOKUP(1980,Requirements!A2:B2967,2,FALSE)</f>
        <v/>
      </c>
    </row>
    <row r="9493">
      <c r="A9493" t="inlineStr">
        <is>
          <t xml:space="preserve">phone </t>
        </is>
      </c>
      <c r="B9493">
        <f>VLOOKUP(1992,Requirements!A2:B2967,2,FALSE)</f>
        <v/>
      </c>
    </row>
    <row r="9494">
      <c r="A9494" t="inlineStr">
        <is>
          <t xml:space="preserve">phone </t>
        </is>
      </c>
      <c r="B9494">
        <f>VLOOKUP(2088,Requirements!A2:B2967,2,FALSE)</f>
        <v/>
      </c>
    </row>
    <row r="9495">
      <c r="A9495" t="inlineStr">
        <is>
          <t xml:space="preserve">phone </t>
        </is>
      </c>
      <c r="B9495">
        <f>VLOOKUP(2100,Requirements!A2:B2967,2,FALSE)</f>
        <v/>
      </c>
    </row>
    <row r="9496">
      <c r="A9496" t="inlineStr">
        <is>
          <t xml:space="preserve">phone </t>
        </is>
      </c>
      <c r="B9496">
        <f>VLOOKUP(2130,Requirements!A2:B2967,2,FALSE)</f>
        <v/>
      </c>
    </row>
    <row r="9497">
      <c r="A9497" t="inlineStr">
        <is>
          <t xml:space="preserve">phone </t>
        </is>
      </c>
      <c r="B9497">
        <f>VLOOKUP(2146,Requirements!A2:B2967,2,FALSE)</f>
        <v/>
      </c>
    </row>
    <row r="9498">
      <c r="A9498" t="inlineStr">
        <is>
          <t xml:space="preserve">phone </t>
        </is>
      </c>
      <c r="B9498">
        <f>VLOOKUP(2151,Requirements!A2:B2967,2,FALSE)</f>
        <v/>
      </c>
    </row>
    <row r="9499">
      <c r="A9499" t="inlineStr">
        <is>
          <t xml:space="preserve">phone </t>
        </is>
      </c>
      <c r="B9499">
        <f>VLOOKUP(2208,Requirements!A2:B2967,2,FALSE)</f>
        <v/>
      </c>
    </row>
    <row r="9500">
      <c r="A9500" t="inlineStr">
        <is>
          <t xml:space="preserve">phone </t>
        </is>
      </c>
      <c r="B9500">
        <f>VLOOKUP(2244,Requirements!A2:B2967,2,FALSE)</f>
        <v/>
      </c>
    </row>
    <row r="9501">
      <c r="A9501" t="inlineStr">
        <is>
          <t xml:space="preserve">phone </t>
        </is>
      </c>
      <c r="B9501">
        <f>VLOOKUP(2275,Requirements!A2:B2967,2,FALSE)</f>
        <v/>
      </c>
    </row>
    <row r="9502">
      <c r="A9502" t="inlineStr">
        <is>
          <t xml:space="preserve">phone </t>
        </is>
      </c>
      <c r="B9502">
        <f>VLOOKUP(2286,Requirements!A2:B2967,2,FALSE)</f>
        <v/>
      </c>
    </row>
    <row r="9503">
      <c r="A9503" t="inlineStr">
        <is>
          <t xml:space="preserve">phone </t>
        </is>
      </c>
      <c r="B9503">
        <f>VLOOKUP(2300,Requirements!A2:B2967,2,FALSE)</f>
        <v/>
      </c>
    </row>
    <row r="9504">
      <c r="A9504" t="inlineStr">
        <is>
          <t xml:space="preserve">phone </t>
        </is>
      </c>
      <c r="B9504">
        <f>VLOOKUP(2301,Requirements!A2:B2967,2,FALSE)</f>
        <v/>
      </c>
    </row>
    <row r="9505">
      <c r="A9505" t="inlineStr">
        <is>
          <t xml:space="preserve">phone </t>
        </is>
      </c>
      <c r="B9505">
        <f>VLOOKUP(2418,Requirements!A2:B2967,2,FALSE)</f>
        <v/>
      </c>
    </row>
    <row r="9506">
      <c r="A9506" t="inlineStr">
        <is>
          <t xml:space="preserve">phone </t>
        </is>
      </c>
      <c r="B9506">
        <f>VLOOKUP(2449,Requirements!A2:B2967,2,FALSE)</f>
        <v/>
      </c>
    </row>
    <row r="9507">
      <c r="A9507" t="inlineStr">
        <is>
          <t xml:space="preserve">phone </t>
        </is>
      </c>
      <c r="B9507">
        <f>VLOOKUP(2457,Requirements!A2:B2967,2,FALSE)</f>
        <v/>
      </c>
    </row>
    <row r="9508">
      <c r="A9508" t="inlineStr">
        <is>
          <t xml:space="preserve">phone </t>
        </is>
      </c>
      <c r="B9508">
        <f>VLOOKUP(2518,Requirements!A2:B2967,2,FALSE)</f>
        <v/>
      </c>
    </row>
    <row r="9509">
      <c r="A9509" t="inlineStr">
        <is>
          <t xml:space="preserve">phone </t>
        </is>
      </c>
      <c r="B9509">
        <f>VLOOKUP(2528,Requirements!A2:B2967,2,FALSE)</f>
        <v/>
      </c>
    </row>
    <row r="9510">
      <c r="A9510" t="inlineStr">
        <is>
          <t xml:space="preserve">phone </t>
        </is>
      </c>
      <c r="B9510">
        <f>VLOOKUP(2722,Requirements!A2:B2967,2,FALSE)</f>
        <v/>
      </c>
    </row>
    <row r="9511">
      <c r="A9511" t="inlineStr">
        <is>
          <t xml:space="preserve">phone </t>
        </is>
      </c>
      <c r="B9511">
        <f>VLOOKUP(2724,Requirements!A2:B2967,2,FALSE)</f>
        <v/>
      </c>
    </row>
    <row r="9512">
      <c r="A9512" t="inlineStr">
        <is>
          <t xml:space="preserve">phone </t>
        </is>
      </c>
      <c r="B9512">
        <f>VLOOKUP(2728,Requirements!A2:B2967,2,FALSE)</f>
        <v/>
      </c>
    </row>
    <row r="9513">
      <c r="A9513" t="inlineStr">
        <is>
          <t xml:space="preserve">phone </t>
        </is>
      </c>
      <c r="B9513">
        <f>VLOOKUP(2732,Requirements!A2:B2967,2,FALSE)</f>
        <v/>
      </c>
    </row>
    <row r="9514">
      <c r="A9514" t="inlineStr">
        <is>
          <t xml:space="preserve">phone </t>
        </is>
      </c>
      <c r="B9514">
        <f>VLOOKUP(2801,Requirements!A2:B2967,2,FALSE)</f>
        <v/>
      </c>
    </row>
    <row r="9515">
      <c r="A9515" t="inlineStr">
        <is>
          <t xml:space="preserve">phone </t>
        </is>
      </c>
      <c r="B9515">
        <f>VLOOKUP(2809,Requirements!A2:B2967,2,FALSE)</f>
        <v/>
      </c>
    </row>
    <row r="9516">
      <c r="A9516" t="inlineStr">
        <is>
          <t xml:space="preserve">phone </t>
        </is>
      </c>
      <c r="B9516">
        <f>VLOOKUP(2849,Requirements!A2:B2967,2,FALSE)</f>
        <v/>
      </c>
    </row>
    <row r="9517">
      <c r="A9517" t="inlineStr">
        <is>
          <t xml:space="preserve">phone </t>
        </is>
      </c>
      <c r="B9517">
        <f>VLOOKUP(2852,Requirements!A2:B2967,2,FALSE)</f>
        <v/>
      </c>
    </row>
    <row r="9518">
      <c r="A9518" t="inlineStr">
        <is>
          <t xml:space="preserve">phone </t>
        </is>
      </c>
      <c r="B9518">
        <f>VLOOKUP(2862,Requirements!A2:B2967,2,FALSE)</f>
        <v/>
      </c>
    </row>
    <row r="9519">
      <c r="A9519" t="inlineStr">
        <is>
          <t xml:space="preserve">phone </t>
        </is>
      </c>
      <c r="B9519">
        <f>VLOOKUP(2868,Requirements!A2:B2967,2,FALSE)</f>
        <v/>
      </c>
    </row>
    <row r="9520">
      <c r="A9520" t="inlineStr">
        <is>
          <t xml:space="preserve">phone </t>
        </is>
      </c>
      <c r="B9520">
        <f>VLOOKUP(2911,Requirements!A2:B2967,2,FALSE)</f>
        <v/>
      </c>
    </row>
    <row r="9521">
      <c r="A9521" t="inlineStr">
        <is>
          <t xml:space="preserve">phone </t>
        </is>
      </c>
      <c r="B9521">
        <f>VLOOKUP(3141,Requirements!A2:B2967,2,FALSE)</f>
        <v/>
      </c>
    </row>
    <row r="9522">
      <c r="A9522" t="inlineStr">
        <is>
          <t xml:space="preserve">phone </t>
        </is>
      </c>
      <c r="B9522">
        <f>VLOOKUP(3271,Requirements!A2:B2967,2,FALSE)</f>
        <v/>
      </c>
    </row>
    <row r="9523">
      <c r="A9523" t="inlineStr">
        <is>
          <t xml:space="preserve">store </t>
        </is>
      </c>
      <c r="B9523">
        <f>VLOOKUP(315,Requirements!A2:B2967,2,FALSE)</f>
        <v/>
      </c>
    </row>
    <row r="9524">
      <c r="A9524" t="inlineStr">
        <is>
          <t xml:space="preserve">store </t>
        </is>
      </c>
      <c r="B9524">
        <f>VLOOKUP(573,Requirements!A2:B2967,2,FALSE)</f>
        <v/>
      </c>
    </row>
    <row r="9525">
      <c r="A9525" t="inlineStr">
        <is>
          <t xml:space="preserve">store </t>
        </is>
      </c>
      <c r="B9525">
        <f>VLOOKUP(742,Requirements!A2:B2967,2,FALSE)</f>
        <v/>
      </c>
    </row>
    <row r="9526">
      <c r="A9526" t="inlineStr">
        <is>
          <t xml:space="preserve">store </t>
        </is>
      </c>
      <c r="B9526">
        <f>VLOOKUP(792,Requirements!A2:B2967,2,FALSE)</f>
        <v/>
      </c>
    </row>
    <row r="9527">
      <c r="A9527" t="inlineStr">
        <is>
          <t xml:space="preserve">store </t>
        </is>
      </c>
      <c r="B9527">
        <f>VLOOKUP(899,Requirements!A2:B2967,2,FALSE)</f>
        <v/>
      </c>
    </row>
    <row r="9528">
      <c r="A9528" t="inlineStr">
        <is>
          <t xml:space="preserve">store </t>
        </is>
      </c>
      <c r="B9528">
        <f>VLOOKUP(1050,Requirements!A2:B2967,2,FALSE)</f>
        <v/>
      </c>
    </row>
    <row r="9529">
      <c r="A9529" t="inlineStr">
        <is>
          <t xml:space="preserve">store </t>
        </is>
      </c>
      <c r="B9529">
        <f>VLOOKUP(1298,Requirements!A2:B2967,2,FALSE)</f>
        <v/>
      </c>
    </row>
    <row r="9530">
      <c r="A9530" t="inlineStr">
        <is>
          <t xml:space="preserve">store </t>
        </is>
      </c>
      <c r="B9530">
        <f>VLOOKUP(1397,Requirements!A2:B2967,2,FALSE)</f>
        <v/>
      </c>
    </row>
    <row r="9531">
      <c r="A9531" t="inlineStr">
        <is>
          <t xml:space="preserve">store </t>
        </is>
      </c>
      <c r="B9531">
        <f>VLOOKUP(1604,Requirements!A2:B2967,2,FALSE)</f>
        <v/>
      </c>
    </row>
    <row r="9532">
      <c r="A9532" t="inlineStr">
        <is>
          <t xml:space="preserve">store </t>
        </is>
      </c>
      <c r="B9532">
        <f>VLOOKUP(1987,Requirements!A2:B2967,2,FALSE)</f>
        <v/>
      </c>
    </row>
    <row r="9533">
      <c r="A9533" t="inlineStr">
        <is>
          <t xml:space="preserve">store </t>
        </is>
      </c>
      <c r="B9533">
        <f>VLOOKUP(2226,Requirements!A2:B2967,2,FALSE)</f>
        <v/>
      </c>
    </row>
    <row r="9534">
      <c r="A9534" t="inlineStr">
        <is>
          <t xml:space="preserve">store </t>
        </is>
      </c>
      <c r="B9534">
        <f>VLOOKUP(2238,Requirements!A2:B2967,2,FALSE)</f>
        <v/>
      </c>
    </row>
    <row r="9535">
      <c r="A9535" t="inlineStr">
        <is>
          <t xml:space="preserve">store </t>
        </is>
      </c>
      <c r="B9535">
        <f>VLOOKUP(2239,Requirements!A2:B2967,2,FALSE)</f>
        <v/>
      </c>
    </row>
    <row r="9536">
      <c r="A9536" t="inlineStr">
        <is>
          <t xml:space="preserve">store </t>
        </is>
      </c>
      <c r="B9536">
        <f>VLOOKUP(2287,Requirements!A2:B2967,2,FALSE)</f>
        <v/>
      </c>
    </row>
    <row r="9537">
      <c r="A9537" t="inlineStr">
        <is>
          <t xml:space="preserve">store </t>
        </is>
      </c>
      <c r="B9537">
        <f>VLOOKUP(2457,Requirements!A2:B2967,2,FALSE)</f>
        <v/>
      </c>
    </row>
    <row r="9538">
      <c r="A9538" t="inlineStr">
        <is>
          <t xml:space="preserve">store </t>
        </is>
      </c>
      <c r="B9538">
        <f>VLOOKUP(2802,Requirements!A2:B2967,2,FALSE)</f>
        <v/>
      </c>
    </row>
    <row r="9539">
      <c r="A9539" t="inlineStr">
        <is>
          <t xml:space="preserve">store </t>
        </is>
      </c>
      <c r="B9539">
        <f>VLOOKUP(3139,Requirements!A2:B2967,2,FALSE)</f>
        <v/>
      </c>
    </row>
    <row r="9540">
      <c r="A9540" t="inlineStr">
        <is>
          <t xml:space="preserve">husband </t>
        </is>
      </c>
      <c r="B9540">
        <f>VLOOKUP(317,Requirements!A2:B2967,2,FALSE)</f>
        <v/>
      </c>
    </row>
    <row r="9541">
      <c r="A9541" t="inlineStr">
        <is>
          <t xml:space="preserve">husband </t>
        </is>
      </c>
      <c r="B9541">
        <f>VLOOKUP(785,Requirements!A2:B2967,2,FALSE)</f>
        <v/>
      </c>
    </row>
    <row r="9542">
      <c r="A9542" t="inlineStr">
        <is>
          <t xml:space="preserve">husband </t>
        </is>
      </c>
      <c r="B9542">
        <f>VLOOKUP(1208,Requirements!A2:B2967,2,FALSE)</f>
        <v/>
      </c>
    </row>
    <row r="9543">
      <c r="A9543" t="inlineStr">
        <is>
          <t xml:space="preserve">husband </t>
        </is>
      </c>
      <c r="B9543">
        <f>VLOOKUP(1413,Requirements!A2:B2967,2,FALSE)</f>
        <v/>
      </c>
    </row>
    <row r="9544">
      <c r="A9544" t="inlineStr">
        <is>
          <t xml:space="preserve">husband </t>
        </is>
      </c>
      <c r="B9544">
        <f>VLOOKUP(1634,Requirements!A2:B2967,2,FALSE)</f>
        <v/>
      </c>
    </row>
    <row r="9545">
      <c r="A9545" t="inlineStr">
        <is>
          <t xml:space="preserve">husband </t>
        </is>
      </c>
      <c r="B9545">
        <f>VLOOKUP(1953,Requirements!A2:B2967,2,FALSE)</f>
        <v/>
      </c>
    </row>
    <row r="9546">
      <c r="A9546" t="inlineStr">
        <is>
          <t xml:space="preserve">husband </t>
        </is>
      </c>
      <c r="B9546">
        <f>VLOOKUP(2143,Requirements!A2:B2967,2,FALSE)</f>
        <v/>
      </c>
    </row>
    <row r="9547">
      <c r="A9547" t="inlineStr">
        <is>
          <t xml:space="preserve">husband </t>
        </is>
      </c>
      <c r="B9547">
        <f>VLOOKUP(2325,Requirements!A2:B2967,2,FALSE)</f>
        <v/>
      </c>
    </row>
    <row r="9548">
      <c r="A9548" t="inlineStr">
        <is>
          <t xml:space="preserve">husband </t>
        </is>
      </c>
      <c r="B9548">
        <f>VLOOKUP(2406,Requirements!A2:B2967,2,FALSE)</f>
        <v/>
      </c>
    </row>
    <row r="9549">
      <c r="A9549" t="inlineStr">
        <is>
          <t xml:space="preserve">husband </t>
        </is>
      </c>
      <c r="B9549">
        <f>VLOOKUP(2427,Requirements!A2:B2967,2,FALSE)</f>
        <v/>
      </c>
    </row>
    <row r="9550">
      <c r="A9550" t="inlineStr">
        <is>
          <t xml:space="preserve">husband </t>
        </is>
      </c>
      <c r="B9550">
        <f>VLOOKUP(2813,Requirements!A2:B2967,2,FALSE)</f>
        <v/>
      </c>
    </row>
    <row r="9551">
      <c r="A9551" t="inlineStr">
        <is>
          <t xml:space="preserve">husband </t>
        </is>
      </c>
      <c r="B9551">
        <f>VLOOKUP(2896,Requirements!A2:B2967,2,FALSE)</f>
        <v/>
      </c>
    </row>
    <row r="9552">
      <c r="A9552" t="inlineStr">
        <is>
          <t xml:space="preserve">husband </t>
        </is>
      </c>
      <c r="B9552">
        <f>VLOOKUP(2904,Requirements!A2:B2967,2,FALSE)</f>
        <v/>
      </c>
    </row>
    <row r="9553">
      <c r="A9553" t="inlineStr">
        <is>
          <t xml:space="preserve">husband </t>
        </is>
      </c>
      <c r="B9553">
        <f>VLOOKUP(2949,Requirements!A2:B2967,2,FALSE)</f>
        <v/>
      </c>
    </row>
    <row r="9554">
      <c r="A9554" t="inlineStr">
        <is>
          <t xml:space="preserve">husband </t>
        </is>
      </c>
      <c r="B9554">
        <f>VLOOKUP(3016,Requirements!A2:B2967,2,FALSE)</f>
        <v/>
      </c>
    </row>
    <row r="9555">
      <c r="A9555" t="inlineStr">
        <is>
          <t xml:space="preserve">husband </t>
        </is>
      </c>
      <c r="B9555">
        <f>VLOOKUP(3232,Requirements!A2:B2967,2,FALSE)</f>
        <v/>
      </c>
    </row>
    <row r="9556">
      <c r="A9556" t="inlineStr">
        <is>
          <t xml:space="preserve">human </t>
        </is>
      </c>
      <c r="B9556">
        <f>VLOOKUP(319,Requirements!A2:B2967,2,FALSE)</f>
        <v/>
      </c>
    </row>
    <row r="9557">
      <c r="A9557" t="inlineStr">
        <is>
          <t xml:space="preserve">human </t>
        </is>
      </c>
      <c r="B9557">
        <f>VLOOKUP(499,Requirements!A2:B2967,2,FALSE)</f>
        <v/>
      </c>
    </row>
    <row r="9558">
      <c r="A9558" t="inlineStr">
        <is>
          <t xml:space="preserve">human </t>
        </is>
      </c>
      <c r="B9558">
        <f>VLOOKUP(1053,Requirements!A2:B2967,2,FALSE)</f>
        <v/>
      </c>
    </row>
    <row r="9559">
      <c r="A9559" t="inlineStr">
        <is>
          <t xml:space="preserve">human </t>
        </is>
      </c>
      <c r="B9559">
        <f>VLOOKUP(2387,Requirements!A2:B2967,2,FALSE)</f>
        <v/>
      </c>
    </row>
    <row r="9560">
      <c r="A9560" t="inlineStr">
        <is>
          <t xml:space="preserve">human </t>
        </is>
      </c>
      <c r="B9560">
        <f>VLOOKUP(2549,Requirements!A2:B2967,2,FALSE)</f>
        <v/>
      </c>
    </row>
    <row r="9561">
      <c r="A9561" t="inlineStr">
        <is>
          <t xml:space="preserve">human </t>
        </is>
      </c>
      <c r="B9561">
        <f>VLOOKUP(2701,Requirements!A2:B2967,2,FALSE)</f>
        <v/>
      </c>
    </row>
    <row r="9562">
      <c r="A9562" t="inlineStr">
        <is>
          <t xml:space="preserve">human </t>
        </is>
      </c>
      <c r="B9562">
        <f>VLOOKUP(2902,Requirements!A2:B2967,2,FALSE)</f>
        <v/>
      </c>
    </row>
    <row r="9563">
      <c r="A9563" t="inlineStr">
        <is>
          <t xml:space="preserve">someone approach </t>
        </is>
      </c>
      <c r="B9563">
        <f>VLOOKUP(323,Requirements!A2:B2967,2,FALSE)</f>
        <v/>
      </c>
    </row>
    <row r="9564">
      <c r="A9564" t="inlineStr">
        <is>
          <t xml:space="preserve">someone approach </t>
        </is>
      </c>
      <c r="B9564">
        <f>VLOOKUP(361,Requirements!A2:B2967,2,FALSE)</f>
        <v/>
      </c>
    </row>
    <row r="9565">
      <c r="A9565" t="inlineStr">
        <is>
          <t xml:space="preserve">someone approach </t>
        </is>
      </c>
      <c r="B9565">
        <f>VLOOKUP(440,Requirements!A2:B2967,2,FALSE)</f>
        <v/>
      </c>
    </row>
    <row r="9566">
      <c r="A9566" t="inlineStr">
        <is>
          <t xml:space="preserve">someone approach </t>
        </is>
      </c>
      <c r="B9566">
        <f>VLOOKUP(1855,Requirements!A2:B2967,2,FALSE)</f>
        <v/>
      </c>
    </row>
    <row r="9567">
      <c r="A9567" t="inlineStr">
        <is>
          <t xml:space="preserve">someone approach </t>
        </is>
      </c>
      <c r="B9567">
        <f>VLOOKUP(1913,Requirements!A2:B2967,2,FALSE)</f>
        <v/>
      </c>
    </row>
    <row r="9568">
      <c r="A9568" t="inlineStr">
        <is>
          <t xml:space="preserve">someone approach </t>
        </is>
      </c>
      <c r="B9568">
        <f>VLOOKUP(2176,Requirements!A2:B2967,2,FALSE)</f>
        <v/>
      </c>
    </row>
    <row r="9569">
      <c r="A9569" t="inlineStr">
        <is>
          <t xml:space="preserve">child 's </t>
        </is>
      </c>
      <c r="B9569">
        <f>VLOOKUP(330,Requirements!A2:B2967,2,FALSE)</f>
        <v/>
      </c>
    </row>
    <row r="9570">
      <c r="A9570" t="inlineStr">
        <is>
          <t xml:space="preserve">child 's </t>
        </is>
      </c>
      <c r="B9570">
        <f>VLOOKUP(1175,Requirements!A2:B2967,2,FALSE)</f>
        <v/>
      </c>
    </row>
    <row r="9571">
      <c r="A9571" t="inlineStr">
        <is>
          <t xml:space="preserve">child 's </t>
        </is>
      </c>
      <c r="B9571">
        <f>VLOOKUP(2750,Requirements!A2:B2967,2,FALSE)</f>
        <v/>
      </c>
    </row>
    <row r="9572">
      <c r="A9572" t="inlineStr">
        <is>
          <t xml:space="preserve">child 's </t>
        </is>
      </c>
      <c r="B9572">
        <f>VLOOKUP(2892,Requirements!A2:B2967,2,FALSE)</f>
        <v/>
      </c>
    </row>
    <row r="9573">
      <c r="A9573" t="inlineStr">
        <is>
          <t xml:space="preserve">child 's </t>
        </is>
      </c>
      <c r="B9573">
        <f>VLOOKUP(3093,Requirements!A2:B2967,2,FALSE)</f>
        <v/>
      </c>
    </row>
    <row r="9574">
      <c r="A9574" t="inlineStr">
        <is>
          <t xml:space="preserve">computer </t>
        </is>
      </c>
      <c r="B9574">
        <f>VLOOKUP(330,Requirements!A2:B2967,2,FALSE)</f>
        <v/>
      </c>
    </row>
    <row r="9575">
      <c r="A9575" t="inlineStr">
        <is>
          <t xml:space="preserve">computer </t>
        </is>
      </c>
      <c r="B9575">
        <f>VLOOKUP(360,Requirements!A2:B2967,2,FALSE)</f>
        <v/>
      </c>
    </row>
    <row r="9576">
      <c r="A9576" t="inlineStr">
        <is>
          <t xml:space="preserve">computer </t>
        </is>
      </c>
      <c r="B9576">
        <f>VLOOKUP(395,Requirements!A2:B2967,2,FALSE)</f>
        <v/>
      </c>
    </row>
    <row r="9577">
      <c r="A9577" t="inlineStr">
        <is>
          <t xml:space="preserve">computer </t>
        </is>
      </c>
      <c r="B9577">
        <f>VLOOKUP(406,Requirements!A2:B2967,2,FALSE)</f>
        <v/>
      </c>
    </row>
    <row r="9578">
      <c r="A9578" t="inlineStr">
        <is>
          <t xml:space="preserve">computer </t>
        </is>
      </c>
      <c r="B9578">
        <f>VLOOKUP(420,Requirements!A2:B2967,2,FALSE)</f>
        <v/>
      </c>
    </row>
    <row r="9579">
      <c r="A9579" t="inlineStr">
        <is>
          <t xml:space="preserve">computer </t>
        </is>
      </c>
      <c r="B9579">
        <f>VLOOKUP(494,Requirements!A2:B2967,2,FALSE)</f>
        <v/>
      </c>
    </row>
    <row r="9580">
      <c r="A9580" t="inlineStr">
        <is>
          <t xml:space="preserve">computer </t>
        </is>
      </c>
      <c r="B9580">
        <f>VLOOKUP(926,Requirements!A2:B2967,2,FALSE)</f>
        <v/>
      </c>
    </row>
    <row r="9581">
      <c r="A9581" t="inlineStr">
        <is>
          <t xml:space="preserve">computer </t>
        </is>
      </c>
      <c r="B9581">
        <f>VLOOKUP(957,Requirements!A2:B2967,2,FALSE)</f>
        <v/>
      </c>
    </row>
    <row r="9582">
      <c r="A9582" t="inlineStr">
        <is>
          <t xml:space="preserve">computer </t>
        </is>
      </c>
      <c r="B9582">
        <f>VLOOKUP(1138,Requirements!A2:B2967,2,FALSE)</f>
        <v/>
      </c>
    </row>
    <row r="9583">
      <c r="A9583" t="inlineStr">
        <is>
          <t xml:space="preserve">computer </t>
        </is>
      </c>
      <c r="B9583">
        <f>VLOOKUP(1212,Requirements!A2:B2967,2,FALSE)</f>
        <v/>
      </c>
    </row>
    <row r="9584">
      <c r="A9584" t="inlineStr">
        <is>
          <t xml:space="preserve">computer </t>
        </is>
      </c>
      <c r="B9584">
        <f>VLOOKUP(1231,Requirements!A2:B2967,2,FALSE)</f>
        <v/>
      </c>
    </row>
    <row r="9585">
      <c r="A9585" t="inlineStr">
        <is>
          <t xml:space="preserve">computer </t>
        </is>
      </c>
      <c r="B9585">
        <f>VLOOKUP(1383,Requirements!A2:B2967,2,FALSE)</f>
        <v/>
      </c>
    </row>
    <row r="9586">
      <c r="A9586" t="inlineStr">
        <is>
          <t xml:space="preserve">computer </t>
        </is>
      </c>
      <c r="B9586">
        <f>VLOOKUP(1405,Requirements!A2:B2967,2,FALSE)</f>
        <v/>
      </c>
    </row>
    <row r="9587">
      <c r="A9587" t="inlineStr">
        <is>
          <t xml:space="preserve">computer </t>
        </is>
      </c>
      <c r="B9587">
        <f>VLOOKUP(1462,Requirements!A2:B2967,2,FALSE)</f>
        <v/>
      </c>
    </row>
    <row r="9588">
      <c r="A9588" t="inlineStr">
        <is>
          <t xml:space="preserve">computer </t>
        </is>
      </c>
      <c r="B9588">
        <f>VLOOKUP(1572,Requirements!A2:B2967,2,FALSE)</f>
        <v/>
      </c>
    </row>
    <row r="9589">
      <c r="A9589" t="inlineStr">
        <is>
          <t xml:space="preserve">computer </t>
        </is>
      </c>
      <c r="B9589">
        <f>VLOOKUP(1775,Requirements!A2:B2967,2,FALSE)</f>
        <v/>
      </c>
    </row>
    <row r="9590">
      <c r="A9590" t="inlineStr">
        <is>
          <t xml:space="preserve">computer </t>
        </is>
      </c>
      <c r="B9590">
        <f>VLOOKUP(1809,Requirements!A2:B2967,2,FALSE)</f>
        <v/>
      </c>
    </row>
    <row r="9591">
      <c r="A9591" t="inlineStr">
        <is>
          <t xml:space="preserve">computer </t>
        </is>
      </c>
      <c r="B9591">
        <f>VLOOKUP(1867,Requirements!A2:B2967,2,FALSE)</f>
        <v/>
      </c>
    </row>
    <row r="9592">
      <c r="A9592" t="inlineStr">
        <is>
          <t xml:space="preserve">computer </t>
        </is>
      </c>
      <c r="B9592">
        <f>VLOOKUP(1896,Requirements!A2:B2967,2,FALSE)</f>
        <v/>
      </c>
    </row>
    <row r="9593">
      <c r="A9593" t="inlineStr">
        <is>
          <t xml:space="preserve">computer </t>
        </is>
      </c>
      <c r="B9593">
        <f>VLOOKUP(1914,Requirements!A2:B2967,2,FALSE)</f>
        <v/>
      </c>
    </row>
    <row r="9594">
      <c r="A9594" t="inlineStr">
        <is>
          <t xml:space="preserve">computer </t>
        </is>
      </c>
      <c r="B9594">
        <f>VLOOKUP(2189,Requirements!A2:B2967,2,FALSE)</f>
        <v/>
      </c>
    </row>
    <row r="9595">
      <c r="A9595" t="inlineStr">
        <is>
          <t xml:space="preserve">computer </t>
        </is>
      </c>
      <c r="B9595">
        <f>VLOOKUP(2259,Requirements!A2:B2967,2,FALSE)</f>
        <v/>
      </c>
    </row>
    <row r="9596">
      <c r="A9596" t="inlineStr">
        <is>
          <t xml:space="preserve">computer </t>
        </is>
      </c>
      <c r="B9596">
        <f>VLOOKUP(2332,Requirements!A2:B2967,2,FALSE)</f>
        <v/>
      </c>
    </row>
    <row r="9597">
      <c r="A9597" t="inlineStr">
        <is>
          <t xml:space="preserve">computer </t>
        </is>
      </c>
      <c r="B9597">
        <f>VLOOKUP(2412,Requirements!A2:B2967,2,FALSE)</f>
        <v/>
      </c>
    </row>
    <row r="9598">
      <c r="A9598" t="inlineStr">
        <is>
          <t xml:space="preserve">computer </t>
        </is>
      </c>
      <c r="B9598">
        <f>VLOOKUP(2485,Requirements!A2:B2967,2,FALSE)</f>
        <v/>
      </c>
    </row>
    <row r="9599">
      <c r="A9599" t="inlineStr">
        <is>
          <t xml:space="preserve">computer </t>
        </is>
      </c>
      <c r="B9599">
        <f>VLOOKUP(2730,Requirements!A2:B2967,2,FALSE)</f>
        <v/>
      </c>
    </row>
    <row r="9600">
      <c r="A9600" t="inlineStr">
        <is>
          <t xml:space="preserve">step </t>
        </is>
      </c>
      <c r="B9600">
        <f>VLOOKUP(331,Requirements!A2:B2967,2,FALSE)</f>
        <v/>
      </c>
    </row>
    <row r="9601">
      <c r="A9601" t="inlineStr">
        <is>
          <t xml:space="preserve">step </t>
        </is>
      </c>
      <c r="B9601">
        <f>VLOOKUP(1348,Requirements!A2:B2967,2,FALSE)</f>
        <v/>
      </c>
    </row>
    <row r="9602">
      <c r="A9602" t="inlineStr">
        <is>
          <t xml:space="preserve">step </t>
        </is>
      </c>
      <c r="B9602">
        <f>VLOOKUP(2043,Requirements!A2:B2967,2,FALSE)</f>
        <v/>
      </c>
    </row>
    <row r="9603">
      <c r="A9603" t="inlineStr">
        <is>
          <t xml:space="preserve">step </t>
        </is>
      </c>
      <c r="B9603">
        <f>VLOOKUP(2396,Requirements!A2:B2967,2,FALSE)</f>
        <v/>
      </c>
    </row>
    <row r="9604">
      <c r="A9604" t="inlineStr">
        <is>
          <t xml:space="preserve">step </t>
        </is>
      </c>
      <c r="B9604">
        <f>VLOOKUP(2507,Requirements!A2:B2967,2,FALSE)</f>
        <v/>
      </c>
    </row>
    <row r="9605">
      <c r="A9605" t="inlineStr">
        <is>
          <t xml:space="preserve">step </t>
        </is>
      </c>
      <c r="B9605">
        <f>VLOOKUP(2796,Requirements!A2:B2967,2,FALSE)</f>
        <v/>
      </c>
    </row>
    <row r="9606">
      <c r="A9606" t="inlineStr">
        <is>
          <t xml:space="preserve">step </t>
        </is>
      </c>
      <c r="B9606">
        <f>VLOOKUP(2935,Requirements!A2:B2967,2,FALSE)</f>
        <v/>
      </c>
    </row>
    <row r="9607">
      <c r="A9607" t="inlineStr">
        <is>
          <t xml:space="preserve">step </t>
        </is>
      </c>
      <c r="B9607">
        <f>VLOOKUP(3055,Requirements!A2:B2967,2,FALSE)</f>
        <v/>
      </c>
    </row>
    <row r="9608">
      <c r="A9608" t="inlineStr">
        <is>
          <t xml:space="preserve">step </t>
        </is>
      </c>
      <c r="B9608">
        <f>VLOOKUP(3101,Requirements!A2:B2967,2,FALSE)</f>
        <v/>
      </c>
    </row>
    <row r="9609">
      <c r="A9609" t="inlineStr">
        <is>
          <t xml:space="preserve">winter </t>
        </is>
      </c>
      <c r="B9609">
        <f>VLOOKUP(333,Requirements!A2:B2967,2,FALSE)</f>
        <v/>
      </c>
    </row>
    <row r="9610">
      <c r="A9610" t="inlineStr">
        <is>
          <t xml:space="preserve">winter </t>
        </is>
      </c>
      <c r="B9610">
        <f>VLOOKUP(542,Requirements!A2:B2967,2,FALSE)</f>
        <v/>
      </c>
    </row>
    <row r="9611">
      <c r="A9611" t="inlineStr">
        <is>
          <t xml:space="preserve">winter </t>
        </is>
      </c>
      <c r="B9611">
        <f>VLOOKUP(669,Requirements!A2:B2967,2,FALSE)</f>
        <v/>
      </c>
    </row>
    <row r="9612">
      <c r="A9612" t="inlineStr">
        <is>
          <t xml:space="preserve">winter </t>
        </is>
      </c>
      <c r="B9612">
        <f>VLOOKUP(1086,Requirements!A2:B2967,2,FALSE)</f>
        <v/>
      </c>
    </row>
    <row r="9613">
      <c r="A9613" t="inlineStr">
        <is>
          <t xml:space="preserve">winter </t>
        </is>
      </c>
      <c r="B9613">
        <f>VLOOKUP(1155,Requirements!A2:B2967,2,FALSE)</f>
        <v/>
      </c>
    </row>
    <row r="9614">
      <c r="A9614" t="inlineStr">
        <is>
          <t xml:space="preserve">winter </t>
        </is>
      </c>
      <c r="B9614">
        <f>VLOOKUP(1836,Requirements!A2:B2967,2,FALSE)</f>
        <v/>
      </c>
    </row>
    <row r="9615">
      <c r="A9615" t="inlineStr">
        <is>
          <t xml:space="preserve">winter </t>
        </is>
      </c>
      <c r="B9615">
        <f>VLOOKUP(2290,Requirements!A2:B2967,2,FALSE)</f>
        <v/>
      </c>
    </row>
    <row r="9616">
      <c r="A9616" t="inlineStr">
        <is>
          <t xml:space="preserve">winter </t>
        </is>
      </c>
      <c r="B9616">
        <f>VLOOKUP(2308,Requirements!A2:B2967,2,FALSE)</f>
        <v/>
      </c>
    </row>
    <row r="9617">
      <c r="A9617" t="inlineStr">
        <is>
          <t xml:space="preserve">winter </t>
        </is>
      </c>
      <c r="B9617">
        <f>VLOOKUP(2344,Requirements!A2:B2967,2,FALSE)</f>
        <v/>
      </c>
    </row>
    <row r="9618">
      <c r="A9618" t="inlineStr">
        <is>
          <t xml:space="preserve">winter </t>
        </is>
      </c>
      <c r="B9618">
        <f>VLOOKUP(2398,Requirements!A2:B2967,2,FALSE)</f>
        <v/>
      </c>
    </row>
    <row r="9619">
      <c r="A9619" t="inlineStr">
        <is>
          <t xml:space="preserve">winter </t>
        </is>
      </c>
      <c r="B9619">
        <f>VLOOKUP(2627,Requirements!A2:B2967,2,FALSE)</f>
        <v/>
      </c>
    </row>
    <row r="9620">
      <c r="A9620" t="inlineStr">
        <is>
          <t xml:space="preserve">winter </t>
        </is>
      </c>
      <c r="B9620">
        <f>VLOOKUP(2987,Requirements!A2:B2967,2,FALSE)</f>
        <v/>
      </c>
    </row>
    <row r="9621">
      <c r="A9621" t="inlineStr">
        <is>
          <t xml:space="preserve">winter </t>
        </is>
      </c>
      <c r="B9621">
        <f>VLOOKUP(3001,Requirements!A2:B2967,2,FALSE)</f>
        <v/>
      </c>
    </row>
    <row r="9622">
      <c r="A9622" t="inlineStr">
        <is>
          <t xml:space="preserve">winter </t>
        </is>
      </c>
      <c r="B9622">
        <f>VLOOKUP(3002,Requirements!A2:B2967,2,FALSE)</f>
        <v/>
      </c>
    </row>
    <row r="9623">
      <c r="A9623" t="inlineStr">
        <is>
          <t xml:space="preserve">ingredient </t>
        </is>
      </c>
      <c r="B9623">
        <f>VLOOKUP(339,Requirements!A2:B2967,2,FALSE)</f>
        <v/>
      </c>
    </row>
    <row r="9624">
      <c r="A9624" t="inlineStr">
        <is>
          <t xml:space="preserve">ingredient </t>
        </is>
      </c>
      <c r="B9624">
        <f>VLOOKUP(381,Requirements!A2:B2967,2,FALSE)</f>
        <v/>
      </c>
    </row>
    <row r="9625">
      <c r="A9625" t="inlineStr">
        <is>
          <t xml:space="preserve">ingredient </t>
        </is>
      </c>
      <c r="B9625">
        <f>VLOOKUP(1010,Requirements!A2:B2967,2,FALSE)</f>
        <v/>
      </c>
    </row>
    <row r="9626">
      <c r="A9626" t="inlineStr">
        <is>
          <t xml:space="preserve">ingredient </t>
        </is>
      </c>
      <c r="B9626">
        <f>VLOOKUP(1204,Requirements!A2:B2967,2,FALSE)</f>
        <v/>
      </c>
    </row>
    <row r="9627">
      <c r="A9627" t="inlineStr">
        <is>
          <t xml:space="preserve">ingredient </t>
        </is>
      </c>
      <c r="B9627">
        <f>VLOOKUP(1976,Requirements!A2:B2967,2,FALSE)</f>
        <v/>
      </c>
    </row>
    <row r="9628">
      <c r="A9628" t="inlineStr">
        <is>
          <t xml:space="preserve">ingredient </t>
        </is>
      </c>
      <c r="B9628">
        <f>VLOOKUP(2843,Requirements!A2:B2967,2,FALSE)</f>
        <v/>
      </c>
    </row>
    <row r="9629">
      <c r="A9629" t="inlineStr">
        <is>
          <t xml:space="preserve">weight </t>
        </is>
      </c>
      <c r="B9629">
        <f>VLOOKUP(340,Requirements!A2:B2967,2,FALSE)</f>
        <v/>
      </c>
    </row>
    <row r="9630">
      <c r="A9630" t="inlineStr">
        <is>
          <t xml:space="preserve">weight </t>
        </is>
      </c>
      <c r="B9630">
        <f>VLOOKUP(750,Requirements!A2:B2967,2,FALSE)</f>
        <v/>
      </c>
    </row>
    <row r="9631">
      <c r="A9631" t="inlineStr">
        <is>
          <t xml:space="preserve">weight </t>
        </is>
      </c>
      <c r="B9631">
        <f>VLOOKUP(1206,Requirements!A2:B2967,2,FALSE)</f>
        <v/>
      </c>
    </row>
    <row r="9632">
      <c r="A9632" t="inlineStr">
        <is>
          <t xml:space="preserve">weight </t>
        </is>
      </c>
      <c r="B9632">
        <f>VLOOKUP(1488,Requirements!A2:B2967,2,FALSE)</f>
        <v/>
      </c>
    </row>
    <row r="9633">
      <c r="A9633" t="inlineStr">
        <is>
          <t xml:space="preserve">weight </t>
        </is>
      </c>
      <c r="B9633">
        <f>VLOOKUP(1837,Requirements!A2:B2967,2,FALSE)</f>
        <v/>
      </c>
    </row>
    <row r="9634">
      <c r="A9634" t="inlineStr">
        <is>
          <t xml:space="preserve">weight </t>
        </is>
      </c>
      <c r="B9634">
        <f>VLOOKUP(2222,Requirements!A2:B2967,2,FALSE)</f>
        <v/>
      </c>
    </row>
    <row r="9635">
      <c r="A9635" t="inlineStr">
        <is>
          <t xml:space="preserve">weight </t>
        </is>
      </c>
      <c r="B9635">
        <f>VLOOKUP(2332,Requirements!A2:B2967,2,FALSE)</f>
        <v/>
      </c>
    </row>
    <row r="9636">
      <c r="A9636" t="inlineStr">
        <is>
          <t xml:space="preserve">weight </t>
        </is>
      </c>
      <c r="B9636">
        <f>VLOOKUP(2460,Requirements!A2:B2967,2,FALSE)</f>
        <v/>
      </c>
    </row>
    <row r="9637">
      <c r="A9637" t="inlineStr">
        <is>
          <t xml:space="preserve">weight </t>
        </is>
      </c>
      <c r="B9637">
        <f>VLOOKUP(3044,Requirements!A2:B2967,2,FALSE)</f>
        <v/>
      </c>
    </row>
    <row r="9638">
      <c r="A9638" t="inlineStr">
        <is>
          <t xml:space="preserve">weight </t>
        </is>
      </c>
      <c r="B9638">
        <f>VLOOKUP(3054,Requirements!A2:B2967,2,FALSE)</f>
        <v/>
      </c>
    </row>
    <row r="9639">
      <c r="A9639" t="inlineStr">
        <is>
          <t xml:space="preserve">privacy </t>
        </is>
      </c>
      <c r="B9639">
        <f>VLOOKUP(342,Requirements!A2:B2967,2,FALSE)</f>
        <v/>
      </c>
    </row>
    <row r="9640">
      <c r="A9640" t="inlineStr">
        <is>
          <t xml:space="preserve">privacy </t>
        </is>
      </c>
      <c r="B9640">
        <f>VLOOKUP(1533,Requirements!A2:B2967,2,FALSE)</f>
        <v/>
      </c>
    </row>
    <row r="9641">
      <c r="A9641" t="inlineStr">
        <is>
          <t xml:space="preserve">privacy </t>
        </is>
      </c>
      <c r="B9641">
        <f>VLOOKUP(1701,Requirements!A2:B2967,2,FALSE)</f>
        <v/>
      </c>
    </row>
    <row r="9642">
      <c r="A9642" t="inlineStr">
        <is>
          <t xml:space="preserve">privacy </t>
        </is>
      </c>
      <c r="B9642">
        <f>VLOOKUP(2113,Requirements!A2:B2967,2,FALSE)</f>
        <v/>
      </c>
    </row>
    <row r="9643">
      <c r="A9643" t="inlineStr">
        <is>
          <t xml:space="preserve">privacy </t>
        </is>
      </c>
      <c r="B9643">
        <f>VLOOKUP(2182,Requirements!A2:B2967,2,FALSE)</f>
        <v/>
      </c>
    </row>
    <row r="9644">
      <c r="A9644" t="inlineStr">
        <is>
          <t xml:space="preserve">privacy </t>
        </is>
      </c>
      <c r="B9644">
        <f>VLOOKUP(2189,Requirements!A2:B2967,2,FALSE)</f>
        <v/>
      </c>
    </row>
    <row r="9645">
      <c r="A9645" t="inlineStr">
        <is>
          <t xml:space="preserve">privacy </t>
        </is>
      </c>
      <c r="B9645">
        <f>VLOOKUP(2282,Requirements!A2:B2967,2,FALSE)</f>
        <v/>
      </c>
    </row>
    <row r="9646">
      <c r="A9646" t="inlineStr">
        <is>
          <t xml:space="preserve">privacy </t>
        </is>
      </c>
      <c r="B9646">
        <f>VLOOKUP(2372,Requirements!A2:B2967,2,FALSE)</f>
        <v/>
      </c>
    </row>
    <row r="9647">
      <c r="A9647" t="inlineStr">
        <is>
          <t xml:space="preserve">privacy </t>
        </is>
      </c>
      <c r="B9647">
        <f>VLOOKUP(3146,Requirements!A2:B2967,2,FALSE)</f>
        <v/>
      </c>
    </row>
    <row r="9648">
      <c r="A9648" t="inlineStr">
        <is>
          <t xml:space="preserve">entertainment </t>
        </is>
      </c>
      <c r="B9648">
        <f>VLOOKUP(350,Requirements!A2:B2967,2,FALSE)</f>
        <v/>
      </c>
    </row>
    <row r="9649">
      <c r="A9649" t="inlineStr">
        <is>
          <t xml:space="preserve">entertainment </t>
        </is>
      </c>
      <c r="B9649">
        <f>VLOOKUP(426,Requirements!A2:B2967,2,FALSE)</f>
        <v/>
      </c>
    </row>
    <row r="9650">
      <c r="A9650" t="inlineStr">
        <is>
          <t xml:space="preserve">entertainment </t>
        </is>
      </c>
      <c r="B9650">
        <f>VLOOKUP(433,Requirements!A2:B2967,2,FALSE)</f>
        <v/>
      </c>
    </row>
    <row r="9651">
      <c r="A9651" t="inlineStr">
        <is>
          <t xml:space="preserve">entertainment </t>
        </is>
      </c>
      <c r="B9651">
        <f>VLOOKUP(509,Requirements!A2:B2967,2,FALSE)</f>
        <v/>
      </c>
    </row>
    <row r="9652">
      <c r="A9652" t="inlineStr">
        <is>
          <t xml:space="preserve">entertainment </t>
        </is>
      </c>
      <c r="B9652">
        <f>VLOOKUP(577,Requirements!A2:B2967,2,FALSE)</f>
        <v/>
      </c>
    </row>
    <row r="9653">
      <c r="A9653" t="inlineStr">
        <is>
          <t xml:space="preserve">entertainment </t>
        </is>
      </c>
      <c r="B9653">
        <f>VLOOKUP(1092,Requirements!A2:B2967,2,FALSE)</f>
        <v/>
      </c>
    </row>
    <row r="9654">
      <c r="A9654" t="inlineStr">
        <is>
          <t xml:space="preserve">entertainment </t>
        </is>
      </c>
      <c r="B9654">
        <f>VLOOKUP(1645,Requirements!A2:B2967,2,FALSE)</f>
        <v/>
      </c>
    </row>
    <row r="9655">
      <c r="A9655" t="inlineStr">
        <is>
          <t xml:space="preserve">entertainment </t>
        </is>
      </c>
      <c r="B9655">
        <f>VLOOKUP(1826,Requirements!A2:B2967,2,FALSE)</f>
        <v/>
      </c>
    </row>
    <row r="9656">
      <c r="A9656" t="inlineStr">
        <is>
          <t xml:space="preserve">entertainment </t>
        </is>
      </c>
      <c r="B9656">
        <f>VLOOKUP(2645,Requirements!A2:B2967,2,FALSE)</f>
        <v/>
      </c>
    </row>
    <row r="9657">
      <c r="A9657" t="inlineStr">
        <is>
          <t xml:space="preserve">entertainment </t>
        </is>
      </c>
      <c r="B9657">
        <f>VLOOKUP(2913,Requirements!A2:B2967,2,FALSE)</f>
        <v/>
      </c>
    </row>
    <row r="9658">
      <c r="A9658" t="inlineStr">
        <is>
          <t xml:space="preserve">voice command </t>
        </is>
      </c>
      <c r="B9658">
        <f>VLOOKUP(360,Requirements!A2:B2967,2,FALSE)</f>
        <v/>
      </c>
    </row>
    <row r="9659">
      <c r="A9659" t="inlineStr">
        <is>
          <t xml:space="preserve">voice command </t>
        </is>
      </c>
      <c r="B9659">
        <f>VLOOKUP(696,Requirements!A2:B2967,2,FALSE)</f>
        <v/>
      </c>
    </row>
    <row r="9660">
      <c r="A9660" t="inlineStr">
        <is>
          <t xml:space="preserve">voice command </t>
        </is>
      </c>
      <c r="B9660">
        <f>VLOOKUP(1200,Requirements!A2:B2967,2,FALSE)</f>
        <v/>
      </c>
    </row>
    <row r="9661">
      <c r="A9661" t="inlineStr">
        <is>
          <t xml:space="preserve">voice command </t>
        </is>
      </c>
      <c r="B9661">
        <f>VLOOKUP(1307,Requirements!A2:B2967,2,FALSE)</f>
        <v/>
      </c>
    </row>
    <row r="9662">
      <c r="A9662" t="inlineStr">
        <is>
          <t xml:space="preserve">voice command </t>
        </is>
      </c>
      <c r="B9662">
        <f>VLOOKUP(1657,Requirements!A2:B2967,2,FALSE)</f>
        <v/>
      </c>
    </row>
    <row r="9663">
      <c r="A9663" t="inlineStr">
        <is>
          <t xml:space="preserve">voice command </t>
        </is>
      </c>
      <c r="B9663">
        <f>VLOOKUP(2033,Requirements!A2:B2967,2,FALSE)</f>
        <v/>
      </c>
    </row>
    <row r="9664">
      <c r="A9664" t="inlineStr">
        <is>
          <t xml:space="preserve">voice command </t>
        </is>
      </c>
      <c r="B9664">
        <f>VLOOKUP(2198,Requirements!A2:B2967,2,FALSE)</f>
        <v/>
      </c>
    </row>
    <row r="9665">
      <c r="A9665" t="inlineStr">
        <is>
          <t xml:space="preserve">voice command </t>
        </is>
      </c>
      <c r="B9665">
        <f>VLOOKUP(2300,Requirements!A2:B2967,2,FALSE)</f>
        <v/>
      </c>
    </row>
    <row r="9666">
      <c r="A9666" t="inlineStr">
        <is>
          <t xml:space="preserve">voice command </t>
        </is>
      </c>
      <c r="B9666">
        <f>VLOOKUP(2330,Requirements!A2:B2967,2,FALSE)</f>
        <v/>
      </c>
    </row>
    <row r="9667">
      <c r="A9667" t="inlineStr">
        <is>
          <t xml:space="preserve">voice command </t>
        </is>
      </c>
      <c r="B9667">
        <f>VLOOKUP(2726,Requirements!A2:B2967,2,FALSE)</f>
        <v/>
      </c>
    </row>
    <row r="9668">
      <c r="A9668" t="inlineStr">
        <is>
          <t xml:space="preserve">voice command </t>
        </is>
      </c>
      <c r="B9668">
        <f>VLOOKUP(2964,Requirements!A2:B2967,2,FALSE)</f>
        <v/>
      </c>
    </row>
    <row r="9669">
      <c r="A9669" t="inlineStr">
        <is>
          <t xml:space="preserve">touch </t>
        </is>
      </c>
      <c r="B9669">
        <f>VLOOKUP(360,Requirements!A2:B2967,2,FALSE)</f>
        <v/>
      </c>
    </row>
    <row r="9670">
      <c r="A9670" t="inlineStr">
        <is>
          <t xml:space="preserve">touch </t>
        </is>
      </c>
      <c r="B9670">
        <f>VLOOKUP(550,Requirements!A2:B2967,2,FALSE)</f>
        <v/>
      </c>
    </row>
    <row r="9671">
      <c r="A9671" t="inlineStr">
        <is>
          <t xml:space="preserve">touch </t>
        </is>
      </c>
      <c r="B9671">
        <f>VLOOKUP(687,Requirements!A2:B2967,2,FALSE)</f>
        <v/>
      </c>
    </row>
    <row r="9672">
      <c r="A9672" t="inlineStr">
        <is>
          <t xml:space="preserve">touch </t>
        </is>
      </c>
      <c r="B9672">
        <f>VLOOKUP(1165,Requirements!A2:B2967,2,FALSE)</f>
        <v/>
      </c>
    </row>
    <row r="9673">
      <c r="A9673" t="inlineStr">
        <is>
          <t xml:space="preserve">touch </t>
        </is>
      </c>
      <c r="B9673">
        <f>VLOOKUP(1983,Requirements!A2:B2967,2,FALSE)</f>
        <v/>
      </c>
    </row>
    <row r="9674">
      <c r="A9674" t="inlineStr">
        <is>
          <t xml:space="preserve">touch </t>
        </is>
      </c>
      <c r="B9674">
        <f>VLOOKUP(2576,Requirements!A2:B2967,2,FALSE)</f>
        <v/>
      </c>
    </row>
    <row r="9675">
      <c r="A9675" t="inlineStr">
        <is>
          <t xml:space="preserve">living </t>
        </is>
      </c>
      <c r="B9675">
        <f>VLOOKUP(361,Requirements!A2:B2967,2,FALSE)</f>
        <v/>
      </c>
    </row>
    <row r="9676">
      <c r="A9676" t="inlineStr">
        <is>
          <t xml:space="preserve">living </t>
        </is>
      </c>
      <c r="B9676">
        <f>VLOOKUP(770,Requirements!A2:B2967,2,FALSE)</f>
        <v/>
      </c>
    </row>
    <row r="9677">
      <c r="A9677" t="inlineStr">
        <is>
          <t xml:space="preserve">living </t>
        </is>
      </c>
      <c r="B9677">
        <f>VLOOKUP(1763,Requirements!A2:B2967,2,FALSE)</f>
        <v/>
      </c>
    </row>
    <row r="9678">
      <c r="A9678" t="inlineStr">
        <is>
          <t xml:space="preserve">living </t>
        </is>
      </c>
      <c r="B9678">
        <f>VLOOKUP(2015,Requirements!A2:B2967,2,FALSE)</f>
        <v/>
      </c>
    </row>
    <row r="9679">
      <c r="A9679" t="inlineStr">
        <is>
          <t xml:space="preserve">living </t>
        </is>
      </c>
      <c r="B9679">
        <f>VLOOKUP(2254,Requirements!A2:B2967,2,FALSE)</f>
        <v/>
      </c>
    </row>
    <row r="9680">
      <c r="A9680" t="inlineStr">
        <is>
          <t xml:space="preserve">living </t>
        </is>
      </c>
      <c r="B9680">
        <f>VLOOKUP(2413,Requirements!A2:B2967,2,FALSE)</f>
        <v/>
      </c>
    </row>
    <row r="9681">
      <c r="A9681" t="inlineStr">
        <is>
          <t xml:space="preserve">living </t>
        </is>
      </c>
      <c r="B9681">
        <f>VLOOKUP(2627,Requirements!A2:B2967,2,FALSE)</f>
        <v/>
      </c>
    </row>
    <row r="9682">
      <c r="A9682" t="inlineStr">
        <is>
          <t xml:space="preserve">living </t>
        </is>
      </c>
      <c r="B9682">
        <f>VLOOKUP(3223,Requirements!A2:B2967,2,FALSE)</f>
        <v/>
      </c>
    </row>
    <row r="9683">
      <c r="A9683" t="inlineStr">
        <is>
          <t xml:space="preserve">collar </t>
        </is>
      </c>
      <c r="B9683">
        <f>VLOOKUP(364,Requirements!A2:B2967,2,FALSE)</f>
        <v/>
      </c>
    </row>
    <row r="9684">
      <c r="A9684" t="inlineStr">
        <is>
          <t xml:space="preserve">collar </t>
        </is>
      </c>
      <c r="B9684">
        <f>VLOOKUP(556,Requirements!A2:B2967,2,FALSE)</f>
        <v/>
      </c>
    </row>
    <row r="9685">
      <c r="A9685" t="inlineStr">
        <is>
          <t xml:space="preserve">collar </t>
        </is>
      </c>
      <c r="B9685">
        <f>VLOOKUP(660,Requirements!A2:B2967,2,FALSE)</f>
        <v/>
      </c>
    </row>
    <row r="9686">
      <c r="A9686" t="inlineStr">
        <is>
          <t xml:space="preserve">collar </t>
        </is>
      </c>
      <c r="B9686">
        <f>VLOOKUP(1455,Requirements!A2:B2967,2,FALSE)</f>
        <v/>
      </c>
    </row>
    <row r="9687">
      <c r="A9687" t="inlineStr">
        <is>
          <t xml:space="preserve">collar </t>
        </is>
      </c>
      <c r="B9687">
        <f>VLOOKUP(1781,Requirements!A2:B2967,2,FALSE)</f>
        <v/>
      </c>
    </row>
    <row r="9688">
      <c r="A9688" t="inlineStr">
        <is>
          <t xml:space="preserve">collar </t>
        </is>
      </c>
      <c r="B9688">
        <f>VLOOKUP(2177,Requirements!A2:B2967,2,FALSE)</f>
        <v/>
      </c>
    </row>
    <row r="9689">
      <c r="A9689" t="inlineStr">
        <is>
          <t xml:space="preserve">pipe </t>
        </is>
      </c>
      <c r="B9689">
        <f>VLOOKUP(371,Requirements!A2:B2967,2,FALSE)</f>
        <v/>
      </c>
    </row>
    <row r="9690">
      <c r="A9690" t="inlineStr">
        <is>
          <t xml:space="preserve">pipe </t>
        </is>
      </c>
      <c r="B9690">
        <f>VLOOKUP(398,Requirements!A2:B2967,2,FALSE)</f>
        <v/>
      </c>
    </row>
    <row r="9691">
      <c r="A9691" t="inlineStr">
        <is>
          <t xml:space="preserve">pipe </t>
        </is>
      </c>
      <c r="B9691">
        <f>VLOOKUP(1068,Requirements!A2:B2967,2,FALSE)</f>
        <v/>
      </c>
    </row>
    <row r="9692">
      <c r="A9692" t="inlineStr">
        <is>
          <t xml:space="preserve">pipe </t>
        </is>
      </c>
      <c r="B9692">
        <f>VLOOKUP(1401,Requirements!A2:B2967,2,FALSE)</f>
        <v/>
      </c>
    </row>
    <row r="9693">
      <c r="A9693" t="inlineStr">
        <is>
          <t xml:space="preserve">pipe </t>
        </is>
      </c>
      <c r="B9693">
        <f>VLOOKUP(2147,Requirements!A2:B2967,2,FALSE)</f>
        <v/>
      </c>
    </row>
    <row r="9694">
      <c r="A9694" t="inlineStr">
        <is>
          <t xml:space="preserve">pipe </t>
        </is>
      </c>
      <c r="B9694">
        <f>VLOOKUP(2392,Requirements!A2:B2967,2,FALSE)</f>
        <v/>
      </c>
    </row>
    <row r="9695">
      <c r="A9695" t="inlineStr">
        <is>
          <t xml:space="preserve">pipe </t>
        </is>
      </c>
      <c r="B9695">
        <f>VLOOKUP(2577,Requirements!A2:B2967,2,FALSE)</f>
        <v/>
      </c>
    </row>
    <row r="9696">
      <c r="A9696" t="inlineStr">
        <is>
          <t xml:space="preserve">level </t>
        </is>
      </c>
      <c r="B9696">
        <f>VLOOKUP(382,Requirements!A2:B2967,2,FALSE)</f>
        <v/>
      </c>
    </row>
    <row r="9697">
      <c r="A9697" t="inlineStr">
        <is>
          <t xml:space="preserve">level </t>
        </is>
      </c>
      <c r="B9697">
        <f>VLOOKUP(442,Requirements!A2:B2967,2,FALSE)</f>
        <v/>
      </c>
    </row>
    <row r="9698">
      <c r="A9698" t="inlineStr">
        <is>
          <t xml:space="preserve">level </t>
        </is>
      </c>
      <c r="B9698">
        <f>VLOOKUP(487,Requirements!A2:B2967,2,FALSE)</f>
        <v/>
      </c>
    </row>
    <row r="9699">
      <c r="A9699" t="inlineStr">
        <is>
          <t xml:space="preserve">level </t>
        </is>
      </c>
      <c r="B9699">
        <f>VLOOKUP(675,Requirements!A2:B2967,2,FALSE)</f>
        <v/>
      </c>
    </row>
    <row r="9700">
      <c r="A9700" t="inlineStr">
        <is>
          <t xml:space="preserve">level </t>
        </is>
      </c>
      <c r="B9700">
        <f>VLOOKUP(754,Requirements!A2:B2967,2,FALSE)</f>
        <v/>
      </c>
    </row>
    <row r="9701">
      <c r="A9701" t="inlineStr">
        <is>
          <t xml:space="preserve">level </t>
        </is>
      </c>
      <c r="B9701">
        <f>VLOOKUP(863,Requirements!A2:B2967,2,FALSE)</f>
        <v/>
      </c>
    </row>
    <row r="9702">
      <c r="A9702" t="inlineStr">
        <is>
          <t xml:space="preserve">level </t>
        </is>
      </c>
      <c r="B9702">
        <f>VLOOKUP(875,Requirements!A2:B2967,2,FALSE)</f>
        <v/>
      </c>
    </row>
    <row r="9703">
      <c r="A9703" t="inlineStr">
        <is>
          <t xml:space="preserve">level </t>
        </is>
      </c>
      <c r="B9703">
        <f>VLOOKUP(1015,Requirements!A2:B2967,2,FALSE)</f>
        <v/>
      </c>
    </row>
    <row r="9704">
      <c r="A9704" t="inlineStr">
        <is>
          <t xml:space="preserve">level </t>
        </is>
      </c>
      <c r="B9704">
        <f>VLOOKUP(1034,Requirements!A2:B2967,2,FALSE)</f>
        <v/>
      </c>
    </row>
    <row r="9705">
      <c r="A9705" t="inlineStr">
        <is>
          <t xml:space="preserve">level </t>
        </is>
      </c>
      <c r="B9705">
        <f>VLOOKUP(1060,Requirements!A2:B2967,2,FALSE)</f>
        <v/>
      </c>
    </row>
    <row r="9706">
      <c r="A9706" t="inlineStr">
        <is>
          <t xml:space="preserve">level </t>
        </is>
      </c>
      <c r="B9706">
        <f>VLOOKUP(1126,Requirements!A2:B2967,2,FALSE)</f>
        <v/>
      </c>
    </row>
    <row r="9707">
      <c r="A9707" t="inlineStr">
        <is>
          <t xml:space="preserve">level </t>
        </is>
      </c>
      <c r="B9707">
        <f>VLOOKUP(1480,Requirements!A2:B2967,2,FALSE)</f>
        <v/>
      </c>
    </row>
    <row r="9708">
      <c r="A9708" t="inlineStr">
        <is>
          <t xml:space="preserve">level </t>
        </is>
      </c>
      <c r="B9708">
        <f>VLOOKUP(1502,Requirements!A2:B2967,2,FALSE)</f>
        <v/>
      </c>
    </row>
    <row r="9709">
      <c r="A9709" t="inlineStr">
        <is>
          <t xml:space="preserve">level </t>
        </is>
      </c>
      <c r="B9709">
        <f>VLOOKUP(1536,Requirements!A2:B2967,2,FALSE)</f>
        <v/>
      </c>
    </row>
    <row r="9710">
      <c r="A9710" t="inlineStr">
        <is>
          <t xml:space="preserve">level </t>
        </is>
      </c>
      <c r="B9710">
        <f>VLOOKUP(1810,Requirements!A2:B2967,2,FALSE)</f>
        <v/>
      </c>
    </row>
    <row r="9711">
      <c r="A9711" t="inlineStr">
        <is>
          <t xml:space="preserve">level </t>
        </is>
      </c>
      <c r="B9711">
        <f>VLOOKUP(2015,Requirements!A2:B2967,2,FALSE)</f>
        <v/>
      </c>
    </row>
    <row r="9712">
      <c r="A9712" t="inlineStr">
        <is>
          <t xml:space="preserve">level </t>
        </is>
      </c>
      <c r="B9712">
        <f>VLOOKUP(2060,Requirements!A2:B2967,2,FALSE)</f>
        <v/>
      </c>
    </row>
    <row r="9713">
      <c r="A9713" t="inlineStr">
        <is>
          <t xml:space="preserve">level </t>
        </is>
      </c>
      <c r="B9713">
        <f>VLOOKUP(2070,Requirements!A2:B2967,2,FALSE)</f>
        <v/>
      </c>
    </row>
    <row r="9714">
      <c r="A9714" t="inlineStr">
        <is>
          <t xml:space="preserve">level </t>
        </is>
      </c>
      <c r="B9714">
        <f>VLOOKUP(2103,Requirements!A2:B2967,2,FALSE)</f>
        <v/>
      </c>
    </row>
    <row r="9715">
      <c r="A9715" t="inlineStr">
        <is>
          <t xml:space="preserve">level </t>
        </is>
      </c>
      <c r="B9715">
        <f>VLOOKUP(2336,Requirements!A2:B2967,2,FALSE)</f>
        <v/>
      </c>
    </row>
    <row r="9716">
      <c r="A9716" t="inlineStr">
        <is>
          <t xml:space="preserve">level </t>
        </is>
      </c>
      <c r="B9716">
        <f>VLOOKUP(2390,Requirements!A2:B2967,2,FALSE)</f>
        <v/>
      </c>
    </row>
    <row r="9717">
      <c r="A9717" t="inlineStr">
        <is>
          <t xml:space="preserve">level </t>
        </is>
      </c>
      <c r="B9717">
        <f>VLOOKUP(2403,Requirements!A2:B2967,2,FALSE)</f>
        <v/>
      </c>
    </row>
    <row r="9718">
      <c r="A9718" t="inlineStr">
        <is>
          <t xml:space="preserve">level </t>
        </is>
      </c>
      <c r="B9718">
        <f>VLOOKUP(2428,Requirements!A2:B2967,2,FALSE)</f>
        <v/>
      </c>
    </row>
    <row r="9719">
      <c r="A9719" t="inlineStr">
        <is>
          <t xml:space="preserve">level </t>
        </is>
      </c>
      <c r="B9719">
        <f>VLOOKUP(2741,Requirements!A2:B2967,2,FALSE)</f>
        <v/>
      </c>
    </row>
    <row r="9720">
      <c r="A9720" t="inlineStr">
        <is>
          <t xml:space="preserve">level </t>
        </is>
      </c>
      <c r="B9720">
        <f>VLOOKUP(2784,Requirements!A2:B2967,2,FALSE)</f>
        <v/>
      </c>
    </row>
    <row r="9721">
      <c r="A9721" t="inlineStr">
        <is>
          <t xml:space="preserve">level </t>
        </is>
      </c>
      <c r="B9721">
        <f>VLOOKUP(2806,Requirements!A2:B2967,2,FALSE)</f>
        <v/>
      </c>
    </row>
    <row r="9722">
      <c r="A9722" t="inlineStr">
        <is>
          <t xml:space="preserve">level </t>
        </is>
      </c>
      <c r="B9722">
        <f>VLOOKUP(3001,Requirements!A2:B2967,2,FALSE)</f>
        <v/>
      </c>
    </row>
    <row r="9723">
      <c r="A9723" t="inlineStr">
        <is>
          <t xml:space="preserve">level </t>
        </is>
      </c>
      <c r="B9723">
        <f>VLOOKUP(3135,Requirements!A2:B2967,2,FALSE)</f>
        <v/>
      </c>
    </row>
    <row r="9724">
      <c r="A9724" t="inlineStr">
        <is>
          <t xml:space="preserve">level </t>
        </is>
      </c>
      <c r="B9724">
        <f>VLOOKUP(3178,Requirements!A2:B2967,2,FALSE)</f>
        <v/>
      </c>
    </row>
    <row r="9725">
      <c r="A9725" t="inlineStr">
        <is>
          <t xml:space="preserve">level </t>
        </is>
      </c>
      <c r="B9725">
        <f>VLOOKUP(3243,Requirements!A2:B2967,2,FALSE)</f>
        <v/>
      </c>
    </row>
    <row r="9726">
      <c r="A9726" t="inlineStr">
        <is>
          <t xml:space="preserve">summer </t>
        </is>
      </c>
      <c r="B9726">
        <f>VLOOKUP(388,Requirements!A2:B2967,2,FALSE)</f>
        <v/>
      </c>
    </row>
    <row r="9727">
      <c r="A9727" t="inlineStr">
        <is>
          <t xml:space="preserve">summer </t>
        </is>
      </c>
      <c r="B9727">
        <f>VLOOKUP(542,Requirements!A2:B2967,2,FALSE)</f>
        <v/>
      </c>
    </row>
    <row r="9728">
      <c r="A9728" t="inlineStr">
        <is>
          <t xml:space="preserve">summer </t>
        </is>
      </c>
      <c r="B9728">
        <f>VLOOKUP(1400,Requirements!A2:B2967,2,FALSE)</f>
        <v/>
      </c>
    </row>
    <row r="9729">
      <c r="A9729" t="inlineStr">
        <is>
          <t xml:space="preserve">summer </t>
        </is>
      </c>
      <c r="B9729">
        <f>VLOOKUP(1836,Requirements!A2:B2967,2,FALSE)</f>
        <v/>
      </c>
    </row>
    <row r="9730">
      <c r="A9730" t="inlineStr">
        <is>
          <t xml:space="preserve">summer </t>
        </is>
      </c>
      <c r="B9730">
        <f>VLOOKUP(2040,Requirements!A2:B2967,2,FALSE)</f>
        <v/>
      </c>
    </row>
    <row r="9731">
      <c r="A9731" t="inlineStr">
        <is>
          <t xml:space="preserve">summer </t>
        </is>
      </c>
      <c r="B9731">
        <f>VLOOKUP(2290,Requirements!A2:B2967,2,FALSE)</f>
        <v/>
      </c>
    </row>
    <row r="9732">
      <c r="A9732" t="inlineStr">
        <is>
          <t xml:space="preserve">summer </t>
        </is>
      </c>
      <c r="B9732">
        <f>VLOOKUP(3227,Requirements!A2:B2967,2,FALSE)</f>
        <v/>
      </c>
    </row>
    <row r="9733">
      <c r="A9733" t="inlineStr">
        <is>
          <t xml:space="preserve">sleep </t>
        </is>
      </c>
      <c r="B9733">
        <f>VLOOKUP(388,Requirements!A2:B2967,2,FALSE)</f>
        <v/>
      </c>
    </row>
    <row r="9734">
      <c r="A9734" t="inlineStr">
        <is>
          <t xml:space="preserve">sleep </t>
        </is>
      </c>
      <c r="B9734">
        <f>VLOOKUP(488,Requirements!A2:B2967,2,FALSE)</f>
        <v/>
      </c>
    </row>
    <row r="9735">
      <c r="A9735" t="inlineStr">
        <is>
          <t xml:space="preserve">sleep </t>
        </is>
      </c>
      <c r="B9735">
        <f>VLOOKUP(769,Requirements!A2:B2967,2,FALSE)</f>
        <v/>
      </c>
    </row>
    <row r="9736">
      <c r="A9736" t="inlineStr">
        <is>
          <t xml:space="preserve">sleep </t>
        </is>
      </c>
      <c r="B9736">
        <f>VLOOKUP(993,Requirements!A2:B2967,2,FALSE)</f>
        <v/>
      </c>
    </row>
    <row r="9737">
      <c r="A9737" t="inlineStr">
        <is>
          <t xml:space="preserve">sleep </t>
        </is>
      </c>
      <c r="B9737">
        <f>VLOOKUP(998,Requirements!A2:B2967,2,FALSE)</f>
        <v/>
      </c>
    </row>
    <row r="9738">
      <c r="A9738" t="inlineStr">
        <is>
          <t xml:space="preserve">sleep </t>
        </is>
      </c>
      <c r="B9738">
        <f>VLOOKUP(1093,Requirements!A2:B2967,2,FALSE)</f>
        <v/>
      </c>
    </row>
    <row r="9739">
      <c r="A9739" t="inlineStr">
        <is>
          <t xml:space="preserve">sleep </t>
        </is>
      </c>
      <c r="B9739">
        <f>VLOOKUP(1140,Requirements!A2:B2967,2,FALSE)</f>
        <v/>
      </c>
    </row>
    <row r="9740">
      <c r="A9740" t="inlineStr">
        <is>
          <t xml:space="preserve">sleep </t>
        </is>
      </c>
      <c r="B9740">
        <f>VLOOKUP(1806,Requirements!A2:B2967,2,FALSE)</f>
        <v/>
      </c>
    </row>
    <row r="9741">
      <c r="A9741" t="inlineStr">
        <is>
          <t xml:space="preserve">sleep </t>
        </is>
      </c>
      <c r="B9741">
        <f>VLOOKUP(1844,Requirements!A2:B2967,2,FALSE)</f>
        <v/>
      </c>
    </row>
    <row r="9742">
      <c r="A9742" t="inlineStr">
        <is>
          <t xml:space="preserve">sleep </t>
        </is>
      </c>
      <c r="B9742">
        <f>VLOOKUP(2844,Requirements!A2:B2967,2,FALSE)</f>
        <v/>
      </c>
    </row>
    <row r="9743">
      <c r="A9743" t="inlineStr">
        <is>
          <t xml:space="preserve">sleep </t>
        </is>
      </c>
      <c r="B9743">
        <f>VLOOKUP(2907,Requirements!A2:B2967,2,FALSE)</f>
        <v/>
      </c>
    </row>
    <row r="9744">
      <c r="A9744" t="inlineStr">
        <is>
          <t xml:space="preserve">sleep </t>
        </is>
      </c>
      <c r="B9744">
        <f>VLOOKUP(3006,Requirements!A2:B2967,2,FALSE)</f>
        <v/>
      </c>
    </row>
    <row r="9745">
      <c r="A9745" t="inlineStr">
        <is>
          <t xml:space="preserve">situation </t>
        </is>
      </c>
      <c r="B9745">
        <f>VLOOKUP(398,Requirements!A2:B2967,2,FALSE)</f>
        <v/>
      </c>
    </row>
    <row r="9746">
      <c r="A9746" t="inlineStr">
        <is>
          <t xml:space="preserve">situation </t>
        </is>
      </c>
      <c r="B9746">
        <f>VLOOKUP(490,Requirements!A2:B2967,2,FALSE)</f>
        <v/>
      </c>
    </row>
    <row r="9747">
      <c r="A9747" t="inlineStr">
        <is>
          <t xml:space="preserve">situation </t>
        </is>
      </c>
      <c r="B9747">
        <f>VLOOKUP(801,Requirements!A2:B2967,2,FALSE)</f>
        <v/>
      </c>
    </row>
    <row r="9748">
      <c r="A9748" t="inlineStr">
        <is>
          <t xml:space="preserve">situation </t>
        </is>
      </c>
      <c r="B9748">
        <f>VLOOKUP(1061,Requirements!A2:B2967,2,FALSE)</f>
        <v/>
      </c>
    </row>
    <row r="9749">
      <c r="A9749" t="inlineStr">
        <is>
          <t xml:space="preserve">situation </t>
        </is>
      </c>
      <c r="B9749">
        <f>VLOOKUP(1405,Requirements!A2:B2967,2,FALSE)</f>
        <v/>
      </c>
    </row>
    <row r="9750">
      <c r="A9750" t="inlineStr">
        <is>
          <t xml:space="preserve">situation </t>
        </is>
      </c>
      <c r="B9750">
        <f>VLOOKUP(2372,Requirements!A2:B2967,2,FALSE)</f>
        <v/>
      </c>
    </row>
    <row r="9751">
      <c r="A9751" t="inlineStr">
        <is>
          <t xml:space="preserve">situation </t>
        </is>
      </c>
      <c r="B9751">
        <f>VLOOKUP(2418,Requirements!A2:B2967,2,FALSE)</f>
        <v/>
      </c>
    </row>
    <row r="9752">
      <c r="A9752" t="inlineStr">
        <is>
          <t xml:space="preserve">situation </t>
        </is>
      </c>
      <c r="B9752">
        <f>VLOOKUP(2708,Requirements!A2:B2967,2,FALSE)</f>
        <v/>
      </c>
    </row>
    <row r="9753">
      <c r="A9753" t="inlineStr">
        <is>
          <t xml:space="preserve">situation </t>
        </is>
      </c>
      <c r="B9753">
        <f>VLOOKUP(3180,Requirements!A2:B2967,2,FALSE)</f>
        <v/>
      </c>
    </row>
    <row r="9754">
      <c r="A9754" t="inlineStr">
        <is>
          <t xml:space="preserve">situation </t>
        </is>
      </c>
      <c r="B9754">
        <f>VLOOKUP(3195,Requirements!A2:B2967,2,FALSE)</f>
        <v/>
      </c>
    </row>
    <row r="9755">
      <c r="A9755" t="inlineStr">
        <is>
          <t xml:space="preserve">long </t>
        </is>
      </c>
      <c r="B9755">
        <f>VLOOKUP(403,Requirements!A2:B2967,2,FALSE)</f>
        <v/>
      </c>
    </row>
    <row r="9756">
      <c r="A9756" t="inlineStr">
        <is>
          <t xml:space="preserve">long </t>
        </is>
      </c>
      <c r="B9756">
        <f>VLOOKUP(482,Requirements!A2:B2967,2,FALSE)</f>
        <v/>
      </c>
    </row>
    <row r="9757">
      <c r="A9757" t="inlineStr">
        <is>
          <t xml:space="preserve">long </t>
        </is>
      </c>
      <c r="B9757">
        <f>VLOOKUP(757,Requirements!A2:B2967,2,FALSE)</f>
        <v/>
      </c>
    </row>
    <row r="9758">
      <c r="A9758" t="inlineStr">
        <is>
          <t xml:space="preserve">long </t>
        </is>
      </c>
      <c r="B9758">
        <f>VLOOKUP(1088,Requirements!A2:B2967,2,FALSE)</f>
        <v/>
      </c>
    </row>
    <row r="9759">
      <c r="A9759" t="inlineStr">
        <is>
          <t xml:space="preserve">long </t>
        </is>
      </c>
      <c r="B9759">
        <f>VLOOKUP(1120,Requirements!A2:B2967,2,FALSE)</f>
        <v/>
      </c>
    </row>
    <row r="9760">
      <c r="A9760" t="inlineStr">
        <is>
          <t xml:space="preserve">long </t>
        </is>
      </c>
      <c r="B9760">
        <f>VLOOKUP(1143,Requirements!A2:B2967,2,FALSE)</f>
        <v/>
      </c>
    </row>
    <row r="9761">
      <c r="A9761" t="inlineStr">
        <is>
          <t xml:space="preserve">long </t>
        </is>
      </c>
      <c r="B9761">
        <f>VLOOKUP(1489,Requirements!A2:B2967,2,FALSE)</f>
        <v/>
      </c>
    </row>
    <row r="9762">
      <c r="A9762" t="inlineStr">
        <is>
          <t xml:space="preserve">long </t>
        </is>
      </c>
      <c r="B9762">
        <f>VLOOKUP(1694,Requirements!A2:B2967,2,FALSE)</f>
        <v/>
      </c>
    </row>
    <row r="9763">
      <c r="A9763" t="inlineStr">
        <is>
          <t xml:space="preserve">long </t>
        </is>
      </c>
      <c r="B9763">
        <f>VLOOKUP(1702,Requirements!A2:B2967,2,FALSE)</f>
        <v/>
      </c>
    </row>
    <row r="9764">
      <c r="A9764" t="inlineStr">
        <is>
          <t xml:space="preserve">long </t>
        </is>
      </c>
      <c r="B9764">
        <f>VLOOKUP(2124,Requirements!A2:B2967,2,FALSE)</f>
        <v/>
      </c>
    </row>
    <row r="9765">
      <c r="A9765" t="inlineStr">
        <is>
          <t xml:space="preserve">long </t>
        </is>
      </c>
      <c r="B9765">
        <f>VLOOKUP(2225,Requirements!A2:B2967,2,FALSE)</f>
        <v/>
      </c>
    </row>
    <row r="9766">
      <c r="A9766" t="inlineStr">
        <is>
          <t xml:space="preserve">long </t>
        </is>
      </c>
      <c r="B9766">
        <f>VLOOKUP(2258,Requirements!A2:B2967,2,FALSE)</f>
        <v/>
      </c>
    </row>
    <row r="9767">
      <c r="A9767" t="inlineStr">
        <is>
          <t xml:space="preserve">long </t>
        </is>
      </c>
      <c r="B9767">
        <f>VLOOKUP(2359,Requirements!A2:B2967,2,FALSE)</f>
        <v/>
      </c>
    </row>
    <row r="9768">
      <c r="A9768" t="inlineStr">
        <is>
          <t xml:space="preserve">long </t>
        </is>
      </c>
      <c r="B9768">
        <f>VLOOKUP(2459,Requirements!A2:B2967,2,FALSE)</f>
        <v/>
      </c>
    </row>
    <row r="9769">
      <c r="A9769" t="inlineStr">
        <is>
          <t xml:space="preserve">long </t>
        </is>
      </c>
      <c r="B9769">
        <f>VLOOKUP(2495,Requirements!A2:B2967,2,FALSE)</f>
        <v/>
      </c>
    </row>
    <row r="9770">
      <c r="A9770" t="inlineStr">
        <is>
          <t xml:space="preserve">long </t>
        </is>
      </c>
      <c r="B9770">
        <f>VLOOKUP(2533,Requirements!A2:B2967,2,FALSE)</f>
        <v/>
      </c>
    </row>
    <row r="9771">
      <c r="A9771" t="inlineStr">
        <is>
          <t xml:space="preserve">hot water </t>
        </is>
      </c>
      <c r="B9771">
        <f>VLOOKUP(403,Requirements!A2:B2967,2,FALSE)</f>
        <v/>
      </c>
    </row>
    <row r="9772">
      <c r="A9772" t="inlineStr">
        <is>
          <t xml:space="preserve">hot water </t>
        </is>
      </c>
      <c r="B9772">
        <f>VLOOKUP(1262,Requirements!A2:B2967,2,FALSE)</f>
        <v/>
      </c>
    </row>
    <row r="9773">
      <c r="A9773" t="inlineStr">
        <is>
          <t xml:space="preserve">hot water </t>
        </is>
      </c>
      <c r="B9773">
        <f>VLOOKUP(1924,Requirements!A2:B2967,2,FALSE)</f>
        <v/>
      </c>
    </row>
    <row r="9774">
      <c r="A9774" t="inlineStr">
        <is>
          <t xml:space="preserve">hot water </t>
        </is>
      </c>
      <c r="B9774">
        <f>VLOOKUP(1974,Requirements!A2:B2967,2,FALSE)</f>
        <v/>
      </c>
    </row>
    <row r="9775">
      <c r="A9775" t="inlineStr">
        <is>
          <t xml:space="preserve">hot water </t>
        </is>
      </c>
      <c r="B9775">
        <f>VLOOKUP(2008,Requirements!A2:B2967,2,FALSE)</f>
        <v/>
      </c>
    </row>
    <row r="9776">
      <c r="A9776" t="inlineStr">
        <is>
          <t xml:space="preserve">hot water </t>
        </is>
      </c>
      <c r="B9776">
        <f>VLOOKUP(2034,Requirements!A2:B2967,2,FALSE)</f>
        <v/>
      </c>
    </row>
    <row r="9777">
      <c r="A9777" t="inlineStr">
        <is>
          <t xml:space="preserve">hot water </t>
        </is>
      </c>
      <c r="B9777">
        <f>VLOOKUP(2225,Requirements!A2:B2967,2,FALSE)</f>
        <v/>
      </c>
    </row>
    <row r="9778">
      <c r="A9778" t="inlineStr">
        <is>
          <t xml:space="preserve">hot water </t>
        </is>
      </c>
      <c r="B9778">
        <f>VLOOKUP(2263,Requirements!A2:B2967,2,FALSE)</f>
        <v/>
      </c>
    </row>
    <row r="9779">
      <c r="A9779" t="inlineStr">
        <is>
          <t xml:space="preserve">hot water </t>
        </is>
      </c>
      <c r="B9779">
        <f>VLOOKUP(2407,Requirements!A2:B2967,2,FALSE)</f>
        <v/>
      </c>
    </row>
    <row r="9780">
      <c r="A9780" t="inlineStr">
        <is>
          <t xml:space="preserve">hot water </t>
        </is>
      </c>
      <c r="B9780">
        <f>VLOOKUP(2570,Requirements!A2:B2967,2,FALSE)</f>
        <v/>
      </c>
    </row>
    <row r="9781">
      <c r="A9781" t="inlineStr">
        <is>
          <t xml:space="preserve">hot water </t>
        </is>
      </c>
      <c r="B9781">
        <f>VLOOKUP(2647,Requirements!A2:B2967,2,FALSE)</f>
        <v/>
      </c>
    </row>
    <row r="9782">
      <c r="A9782" t="inlineStr">
        <is>
          <t xml:space="preserve">hot water </t>
        </is>
      </c>
      <c r="B9782">
        <f>VLOOKUP(2878,Requirements!A2:B2967,2,FALSE)</f>
        <v/>
      </c>
    </row>
    <row r="9783">
      <c r="A9783" t="inlineStr">
        <is>
          <t xml:space="preserve">longer </t>
        </is>
      </c>
      <c r="B9783">
        <f>VLOOKUP(406,Requirements!A2:B2967,2,FALSE)</f>
        <v/>
      </c>
    </row>
    <row r="9784">
      <c r="A9784" t="inlineStr">
        <is>
          <t xml:space="preserve">longer </t>
        </is>
      </c>
      <c r="B9784">
        <f>VLOOKUP(1495,Requirements!A2:B2967,2,FALSE)</f>
        <v/>
      </c>
    </row>
    <row r="9785">
      <c r="A9785" t="inlineStr">
        <is>
          <t xml:space="preserve">longer </t>
        </is>
      </c>
      <c r="B9785">
        <f>VLOOKUP(1697,Requirements!A2:B2967,2,FALSE)</f>
        <v/>
      </c>
    </row>
    <row r="9786">
      <c r="A9786" t="inlineStr">
        <is>
          <t xml:space="preserve">longer </t>
        </is>
      </c>
      <c r="B9786">
        <f>VLOOKUP(2826,Requirements!A2:B2967,2,FALSE)</f>
        <v/>
      </c>
    </row>
    <row r="9787">
      <c r="A9787" t="inlineStr">
        <is>
          <t xml:space="preserve">longer </t>
        </is>
      </c>
      <c r="B9787">
        <f>VLOOKUP(3230,Requirements!A2:B2967,2,FALSE)</f>
        <v/>
      </c>
    </row>
    <row r="9788">
      <c r="A9788" t="inlineStr">
        <is>
          <t xml:space="preserve">outlet </t>
        </is>
      </c>
      <c r="B9788">
        <f>VLOOKUP(409,Requirements!A2:B2967,2,FALSE)</f>
        <v/>
      </c>
    </row>
    <row r="9789">
      <c r="A9789" t="inlineStr">
        <is>
          <t xml:space="preserve">outlet </t>
        </is>
      </c>
      <c r="B9789">
        <f>VLOOKUP(581,Requirements!A2:B2967,2,FALSE)</f>
        <v/>
      </c>
    </row>
    <row r="9790">
      <c r="A9790" t="inlineStr">
        <is>
          <t xml:space="preserve">outlet </t>
        </is>
      </c>
      <c r="B9790">
        <f>VLOOKUP(1442,Requirements!A2:B2967,2,FALSE)</f>
        <v/>
      </c>
    </row>
    <row r="9791">
      <c r="A9791" t="inlineStr">
        <is>
          <t xml:space="preserve">outlet </t>
        </is>
      </c>
      <c r="B9791">
        <f>VLOOKUP(1475,Requirements!A2:B2967,2,FALSE)</f>
        <v/>
      </c>
    </row>
    <row r="9792">
      <c r="A9792" t="inlineStr">
        <is>
          <t xml:space="preserve">outlet </t>
        </is>
      </c>
      <c r="B9792">
        <f>VLOOKUP(1977,Requirements!A2:B2967,2,FALSE)</f>
        <v/>
      </c>
    </row>
    <row r="9793">
      <c r="A9793" t="inlineStr">
        <is>
          <t xml:space="preserve">outlet </t>
        </is>
      </c>
      <c r="B9793">
        <f>VLOOKUP(2958,Requirements!A2:B2967,2,FALSE)</f>
        <v/>
      </c>
    </row>
    <row r="9794">
      <c r="A9794" t="inlineStr">
        <is>
          <t xml:space="preserve">outlet </t>
        </is>
      </c>
      <c r="B9794">
        <f>VLOOKUP(3148,Requirements!A2:B2967,2,FALSE)</f>
        <v/>
      </c>
    </row>
    <row r="9795">
      <c r="A9795" t="inlineStr">
        <is>
          <t xml:space="preserve">outlet </t>
        </is>
      </c>
      <c r="B9795">
        <f>VLOOKUP(3185,Requirements!A2:B2967,2,FALSE)</f>
        <v/>
      </c>
    </row>
    <row r="9796">
      <c r="A9796" t="inlineStr">
        <is>
          <t xml:space="preserve">outlet </t>
        </is>
      </c>
      <c r="B9796">
        <f>VLOOKUP(3271,Requirements!A2:B2967,2,FALSE)</f>
        <v/>
      </c>
    </row>
    <row r="9797">
      <c r="A9797" t="inlineStr">
        <is>
          <t xml:space="preserve">mode </t>
        </is>
      </c>
      <c r="B9797">
        <f>VLOOKUP(412,Requirements!A2:B2967,2,FALSE)</f>
        <v/>
      </c>
    </row>
    <row r="9798">
      <c r="A9798" t="inlineStr">
        <is>
          <t xml:space="preserve">mode </t>
        </is>
      </c>
      <c r="B9798">
        <f>VLOOKUP(535,Requirements!A2:B2967,2,FALSE)</f>
        <v/>
      </c>
    </row>
    <row r="9799">
      <c r="A9799" t="inlineStr">
        <is>
          <t xml:space="preserve">mode </t>
        </is>
      </c>
      <c r="B9799">
        <f>VLOOKUP(976,Requirements!A2:B2967,2,FALSE)</f>
        <v/>
      </c>
    </row>
    <row r="9800">
      <c r="A9800" t="inlineStr">
        <is>
          <t xml:space="preserve">mode </t>
        </is>
      </c>
      <c r="B9800">
        <f>VLOOKUP(1123,Requirements!A2:B2967,2,FALSE)</f>
        <v/>
      </c>
    </row>
    <row r="9801">
      <c r="A9801" t="inlineStr">
        <is>
          <t xml:space="preserve">mode </t>
        </is>
      </c>
      <c r="B9801">
        <f>VLOOKUP(2680,Requirements!A2:B2967,2,FALSE)</f>
        <v/>
      </c>
    </row>
    <row r="9802">
      <c r="A9802" t="inlineStr">
        <is>
          <t xml:space="preserve">option </t>
        </is>
      </c>
      <c r="B9802">
        <f>VLOOKUP(418,Requirements!A2:B2967,2,FALSE)</f>
        <v/>
      </c>
    </row>
    <row r="9803">
      <c r="A9803" t="inlineStr">
        <is>
          <t xml:space="preserve">option </t>
        </is>
      </c>
      <c r="B9803">
        <f>VLOOKUP(462,Requirements!A2:B2967,2,FALSE)</f>
        <v/>
      </c>
    </row>
    <row r="9804">
      <c r="A9804" t="inlineStr">
        <is>
          <t xml:space="preserve">option </t>
        </is>
      </c>
      <c r="B9804">
        <f>VLOOKUP(1311,Requirements!A2:B2967,2,FALSE)</f>
        <v/>
      </c>
    </row>
    <row r="9805">
      <c r="A9805" t="inlineStr">
        <is>
          <t xml:space="preserve">option </t>
        </is>
      </c>
      <c r="B9805">
        <f>VLOOKUP(1486,Requirements!A2:B2967,2,FALSE)</f>
        <v/>
      </c>
    </row>
    <row r="9806">
      <c r="A9806" t="inlineStr">
        <is>
          <t xml:space="preserve">option </t>
        </is>
      </c>
      <c r="B9806">
        <f>VLOOKUP(1521,Requirements!A2:B2967,2,FALSE)</f>
        <v/>
      </c>
    </row>
    <row r="9807">
      <c r="A9807" t="inlineStr">
        <is>
          <t xml:space="preserve">option </t>
        </is>
      </c>
      <c r="B9807">
        <f>VLOOKUP(1573,Requirements!A2:B2967,2,FALSE)</f>
        <v/>
      </c>
    </row>
    <row r="9808">
      <c r="A9808" t="inlineStr">
        <is>
          <t xml:space="preserve">option </t>
        </is>
      </c>
      <c r="B9808">
        <f>VLOOKUP(1586,Requirements!A2:B2967,2,FALSE)</f>
        <v/>
      </c>
    </row>
    <row r="9809">
      <c r="A9809" t="inlineStr">
        <is>
          <t xml:space="preserve">option </t>
        </is>
      </c>
      <c r="B9809">
        <f>VLOOKUP(1595,Requirements!A2:B2967,2,FALSE)</f>
        <v/>
      </c>
    </row>
    <row r="9810">
      <c r="A9810" t="inlineStr">
        <is>
          <t xml:space="preserve">option </t>
        </is>
      </c>
      <c r="B9810">
        <f>VLOOKUP(1905,Requirements!A2:B2967,2,FALSE)</f>
        <v/>
      </c>
    </row>
    <row r="9811">
      <c r="A9811" t="inlineStr">
        <is>
          <t xml:space="preserve">option </t>
        </is>
      </c>
      <c r="B9811">
        <f>VLOOKUP(2231,Requirements!A2:B2967,2,FALSE)</f>
        <v/>
      </c>
    </row>
    <row r="9812">
      <c r="A9812" t="inlineStr">
        <is>
          <t xml:space="preserve">option </t>
        </is>
      </c>
      <c r="B9812">
        <f>VLOOKUP(2372,Requirements!A2:B2967,2,FALSE)</f>
        <v/>
      </c>
    </row>
    <row r="9813">
      <c r="A9813" t="inlineStr">
        <is>
          <t xml:space="preserve">degree </t>
        </is>
      </c>
      <c r="B9813">
        <f>VLOOKUP(422,Requirements!A2:B2967,2,FALSE)</f>
        <v/>
      </c>
    </row>
    <row r="9814">
      <c r="A9814" t="inlineStr">
        <is>
          <t xml:space="preserve">degree </t>
        </is>
      </c>
      <c r="B9814">
        <f>VLOOKUP(493,Requirements!A2:B2967,2,FALSE)</f>
        <v/>
      </c>
    </row>
    <row r="9815">
      <c r="A9815" t="inlineStr">
        <is>
          <t xml:space="preserve">degree </t>
        </is>
      </c>
      <c r="B9815">
        <f>VLOOKUP(1478,Requirements!A2:B2967,2,FALSE)</f>
        <v/>
      </c>
    </row>
    <row r="9816">
      <c r="A9816" t="inlineStr">
        <is>
          <t xml:space="preserve">degree </t>
        </is>
      </c>
      <c r="B9816">
        <f>VLOOKUP(2265,Requirements!A2:B2967,2,FALSE)</f>
        <v/>
      </c>
    </row>
    <row r="9817">
      <c r="A9817" t="inlineStr">
        <is>
          <t xml:space="preserve">degree </t>
        </is>
      </c>
      <c r="B9817">
        <f>VLOOKUP(2327,Requirements!A2:B2967,2,FALSE)</f>
        <v/>
      </c>
    </row>
    <row r="9818">
      <c r="A9818" t="inlineStr">
        <is>
          <t xml:space="preserve">degree </t>
        </is>
      </c>
      <c r="B9818">
        <f>VLOOKUP(2509,Requirements!A2:B2967,2,FALSE)</f>
        <v/>
      </c>
    </row>
    <row r="9819">
      <c r="A9819" t="inlineStr">
        <is>
          <t xml:space="preserve">degree </t>
        </is>
      </c>
      <c r="B9819">
        <f>VLOOKUP(2548,Requirements!A2:B2967,2,FALSE)</f>
        <v/>
      </c>
    </row>
    <row r="9820">
      <c r="A9820" t="inlineStr">
        <is>
          <t xml:space="preserve">degree </t>
        </is>
      </c>
      <c r="B9820">
        <f>VLOOKUP(2800,Requirements!A2:B2967,2,FALSE)</f>
        <v/>
      </c>
    </row>
    <row r="9821">
      <c r="A9821" t="inlineStr">
        <is>
          <t xml:space="preserve">power </t>
        </is>
      </c>
      <c r="B9821">
        <f>VLOOKUP(424,Requirements!A2:B2967,2,FALSE)</f>
        <v/>
      </c>
    </row>
    <row r="9822">
      <c r="A9822" t="inlineStr">
        <is>
          <t xml:space="preserve">power </t>
        </is>
      </c>
      <c r="B9822">
        <f>VLOOKUP(461,Requirements!A2:B2967,2,FALSE)</f>
        <v/>
      </c>
    </row>
    <row r="9823">
      <c r="A9823" t="inlineStr">
        <is>
          <t xml:space="preserve">power </t>
        </is>
      </c>
      <c r="B9823">
        <f>VLOOKUP(581,Requirements!A2:B2967,2,FALSE)</f>
        <v/>
      </c>
    </row>
    <row r="9824">
      <c r="A9824" t="inlineStr">
        <is>
          <t xml:space="preserve">power </t>
        </is>
      </c>
      <c r="B9824">
        <f>VLOOKUP(679,Requirements!A2:B2967,2,FALSE)</f>
        <v/>
      </c>
    </row>
    <row r="9825">
      <c r="A9825" t="inlineStr">
        <is>
          <t xml:space="preserve">power </t>
        </is>
      </c>
      <c r="B9825">
        <f>VLOOKUP(990,Requirements!A2:B2967,2,FALSE)</f>
        <v/>
      </c>
    </row>
    <row r="9826">
      <c r="A9826" t="inlineStr">
        <is>
          <t xml:space="preserve">power </t>
        </is>
      </c>
      <c r="B9826">
        <f>VLOOKUP(1286,Requirements!A2:B2967,2,FALSE)</f>
        <v/>
      </c>
    </row>
    <row r="9827">
      <c r="A9827" t="inlineStr">
        <is>
          <t xml:space="preserve">power </t>
        </is>
      </c>
      <c r="B9827">
        <f>VLOOKUP(1384,Requirements!A2:B2967,2,FALSE)</f>
        <v/>
      </c>
    </row>
    <row r="9828">
      <c r="A9828" t="inlineStr">
        <is>
          <t xml:space="preserve">power </t>
        </is>
      </c>
      <c r="B9828">
        <f>VLOOKUP(1504,Requirements!A2:B2967,2,FALSE)</f>
        <v/>
      </c>
    </row>
    <row r="9829">
      <c r="A9829" t="inlineStr">
        <is>
          <t xml:space="preserve">power </t>
        </is>
      </c>
      <c r="B9829">
        <f>VLOOKUP(1670,Requirements!A2:B2967,2,FALSE)</f>
        <v/>
      </c>
    </row>
    <row r="9830">
      <c r="A9830" t="inlineStr">
        <is>
          <t xml:space="preserve">power </t>
        </is>
      </c>
      <c r="B9830">
        <f>VLOOKUP(1975,Requirements!A2:B2967,2,FALSE)</f>
        <v/>
      </c>
    </row>
    <row r="9831">
      <c r="A9831" t="inlineStr">
        <is>
          <t xml:space="preserve">power </t>
        </is>
      </c>
      <c r="B9831">
        <f>VLOOKUP(1977,Requirements!A2:B2967,2,FALSE)</f>
        <v/>
      </c>
    </row>
    <row r="9832">
      <c r="A9832" t="inlineStr">
        <is>
          <t xml:space="preserve">power </t>
        </is>
      </c>
      <c r="B9832">
        <f>VLOOKUP(1982,Requirements!A2:B2967,2,FALSE)</f>
        <v/>
      </c>
    </row>
    <row r="9833">
      <c r="A9833" t="inlineStr">
        <is>
          <t xml:space="preserve">power </t>
        </is>
      </c>
      <c r="B9833">
        <f>VLOOKUP(2038,Requirements!A2:B2967,2,FALSE)</f>
        <v/>
      </c>
    </row>
    <row r="9834">
      <c r="A9834" t="inlineStr">
        <is>
          <t xml:space="preserve">power </t>
        </is>
      </c>
      <c r="B9834">
        <f>VLOOKUP(2095,Requirements!A2:B2967,2,FALSE)</f>
        <v/>
      </c>
    </row>
    <row r="9835">
      <c r="A9835" t="inlineStr">
        <is>
          <t xml:space="preserve">power </t>
        </is>
      </c>
      <c r="B9835">
        <f>VLOOKUP(2100,Requirements!A2:B2967,2,FALSE)</f>
        <v/>
      </c>
    </row>
    <row r="9836">
      <c r="A9836" t="inlineStr">
        <is>
          <t xml:space="preserve">power </t>
        </is>
      </c>
      <c r="B9836">
        <f>VLOOKUP(2105,Requirements!A2:B2967,2,FALSE)</f>
        <v/>
      </c>
    </row>
    <row r="9837">
      <c r="A9837" t="inlineStr">
        <is>
          <t xml:space="preserve">power </t>
        </is>
      </c>
      <c r="B9837">
        <f>VLOOKUP(2124,Requirements!A2:B2967,2,FALSE)</f>
        <v/>
      </c>
    </row>
    <row r="9838">
      <c r="A9838" t="inlineStr">
        <is>
          <t xml:space="preserve">power </t>
        </is>
      </c>
      <c r="B9838">
        <f>VLOOKUP(2219,Requirements!A2:B2967,2,FALSE)</f>
        <v/>
      </c>
    </row>
    <row r="9839">
      <c r="A9839" t="inlineStr">
        <is>
          <t xml:space="preserve">power </t>
        </is>
      </c>
      <c r="B9839">
        <f>VLOOKUP(2304,Requirements!A2:B2967,2,FALSE)</f>
        <v/>
      </c>
    </row>
    <row r="9840">
      <c r="A9840" t="inlineStr">
        <is>
          <t xml:space="preserve">power </t>
        </is>
      </c>
      <c r="B9840">
        <f>VLOOKUP(2534,Requirements!A2:B2967,2,FALSE)</f>
        <v/>
      </c>
    </row>
    <row r="9841">
      <c r="A9841" t="inlineStr">
        <is>
          <t xml:space="preserve">power </t>
        </is>
      </c>
      <c r="B9841">
        <f>VLOOKUP(2830,Requirements!A2:B2967,2,FALSE)</f>
        <v/>
      </c>
    </row>
    <row r="9842">
      <c r="A9842" t="inlineStr">
        <is>
          <t xml:space="preserve">power </t>
        </is>
      </c>
      <c r="B9842">
        <f>VLOOKUP(2833,Requirements!A2:B2967,2,FALSE)</f>
        <v/>
      </c>
    </row>
    <row r="9843">
      <c r="A9843" t="inlineStr">
        <is>
          <t xml:space="preserve">power </t>
        </is>
      </c>
      <c r="B9843">
        <f>VLOOKUP(2893,Requirements!A2:B2967,2,FALSE)</f>
        <v/>
      </c>
    </row>
    <row r="9844">
      <c r="A9844" t="inlineStr">
        <is>
          <t xml:space="preserve">power </t>
        </is>
      </c>
      <c r="B9844">
        <f>VLOOKUP(3041,Requirements!A2:B2967,2,FALSE)</f>
        <v/>
      </c>
    </row>
    <row r="9845">
      <c r="A9845" t="inlineStr">
        <is>
          <t xml:space="preserve">power </t>
        </is>
      </c>
      <c r="B9845">
        <f>VLOOKUP(3097,Requirements!A2:B2967,2,FALSE)</f>
        <v/>
      </c>
    </row>
    <row r="9846">
      <c r="A9846" t="inlineStr">
        <is>
          <t xml:space="preserve">power </t>
        </is>
      </c>
      <c r="B9846">
        <f>VLOOKUP(3251,Requirements!A2:B2967,2,FALSE)</f>
        <v/>
      </c>
    </row>
    <row r="9847">
      <c r="A9847" t="inlineStr">
        <is>
          <t xml:space="preserve">self </t>
        </is>
      </c>
      <c r="B9847">
        <f>VLOOKUP(425,Requirements!A2:B2967,2,FALSE)</f>
        <v/>
      </c>
    </row>
    <row r="9848">
      <c r="A9848" t="inlineStr">
        <is>
          <t xml:space="preserve">self </t>
        </is>
      </c>
      <c r="B9848">
        <f>VLOOKUP(709,Requirements!A2:B2967,2,FALSE)</f>
        <v/>
      </c>
    </row>
    <row r="9849">
      <c r="A9849" t="inlineStr">
        <is>
          <t xml:space="preserve">self </t>
        </is>
      </c>
      <c r="B9849">
        <f>VLOOKUP(802,Requirements!A2:B2967,2,FALSE)</f>
        <v/>
      </c>
    </row>
    <row r="9850">
      <c r="A9850" t="inlineStr">
        <is>
          <t xml:space="preserve">self </t>
        </is>
      </c>
      <c r="B9850">
        <f>VLOOKUP(819,Requirements!A2:B2967,2,FALSE)</f>
        <v/>
      </c>
    </row>
    <row r="9851">
      <c r="A9851" t="inlineStr">
        <is>
          <t xml:space="preserve">self </t>
        </is>
      </c>
      <c r="B9851">
        <f>VLOOKUP(1041,Requirements!A2:B2967,2,FALSE)</f>
        <v/>
      </c>
    </row>
    <row r="9852">
      <c r="A9852" t="inlineStr">
        <is>
          <t xml:space="preserve">self </t>
        </is>
      </c>
      <c r="B9852">
        <f>VLOOKUP(1055,Requirements!A2:B2967,2,FALSE)</f>
        <v/>
      </c>
    </row>
    <row r="9853">
      <c r="A9853" t="inlineStr">
        <is>
          <t xml:space="preserve">self </t>
        </is>
      </c>
      <c r="B9853">
        <f>VLOOKUP(1177,Requirements!A2:B2967,2,FALSE)</f>
        <v/>
      </c>
    </row>
    <row r="9854">
      <c r="A9854" t="inlineStr">
        <is>
          <t xml:space="preserve">self </t>
        </is>
      </c>
      <c r="B9854">
        <f>VLOOKUP(1221,Requirements!A2:B2967,2,FALSE)</f>
        <v/>
      </c>
    </row>
    <row r="9855">
      <c r="A9855" t="inlineStr">
        <is>
          <t xml:space="preserve">self </t>
        </is>
      </c>
      <c r="B9855">
        <f>VLOOKUP(1248,Requirements!A2:B2967,2,FALSE)</f>
        <v/>
      </c>
    </row>
    <row r="9856">
      <c r="A9856" t="inlineStr">
        <is>
          <t xml:space="preserve">self </t>
        </is>
      </c>
      <c r="B9856">
        <f>VLOOKUP(1330,Requirements!A2:B2967,2,FALSE)</f>
        <v/>
      </c>
    </row>
    <row r="9857">
      <c r="A9857" t="inlineStr">
        <is>
          <t xml:space="preserve">self </t>
        </is>
      </c>
      <c r="B9857">
        <f>VLOOKUP(1333,Requirements!A2:B2967,2,FALSE)</f>
        <v/>
      </c>
    </row>
    <row r="9858">
      <c r="A9858" t="inlineStr">
        <is>
          <t xml:space="preserve">self </t>
        </is>
      </c>
      <c r="B9858">
        <f>VLOOKUP(1410,Requirements!A2:B2967,2,FALSE)</f>
        <v/>
      </c>
    </row>
    <row r="9859">
      <c r="A9859" t="inlineStr">
        <is>
          <t xml:space="preserve">self </t>
        </is>
      </c>
      <c r="B9859">
        <f>VLOOKUP(1440,Requirements!A2:B2967,2,FALSE)</f>
        <v/>
      </c>
    </row>
    <row r="9860">
      <c r="A9860" t="inlineStr">
        <is>
          <t xml:space="preserve">self </t>
        </is>
      </c>
      <c r="B9860">
        <f>VLOOKUP(1590,Requirements!A2:B2967,2,FALSE)</f>
        <v/>
      </c>
    </row>
    <row r="9861">
      <c r="A9861" t="inlineStr">
        <is>
          <t xml:space="preserve">self </t>
        </is>
      </c>
      <c r="B9861">
        <f>VLOOKUP(2094,Requirements!A2:B2967,2,FALSE)</f>
        <v/>
      </c>
    </row>
    <row r="9862">
      <c r="A9862" t="inlineStr">
        <is>
          <t xml:space="preserve">self </t>
        </is>
      </c>
      <c r="B9862">
        <f>VLOOKUP(2524,Requirements!A2:B2967,2,FALSE)</f>
        <v/>
      </c>
    </row>
    <row r="9863">
      <c r="A9863" t="inlineStr">
        <is>
          <t xml:space="preserve">self </t>
        </is>
      </c>
      <c r="B9863">
        <f>VLOOKUP(2536,Requirements!A2:B2967,2,FALSE)</f>
        <v/>
      </c>
    </row>
    <row r="9864">
      <c r="A9864" t="inlineStr">
        <is>
          <t xml:space="preserve">self </t>
        </is>
      </c>
      <c r="B9864">
        <f>VLOOKUP(2553,Requirements!A2:B2967,2,FALSE)</f>
        <v/>
      </c>
    </row>
    <row r="9865">
      <c r="A9865" t="inlineStr">
        <is>
          <t xml:space="preserve">self </t>
        </is>
      </c>
      <c r="B9865">
        <f>VLOOKUP(2570,Requirements!A2:B2967,2,FALSE)</f>
        <v/>
      </c>
    </row>
    <row r="9866">
      <c r="A9866" t="inlineStr">
        <is>
          <t xml:space="preserve">self </t>
        </is>
      </c>
      <c r="B9866">
        <f>VLOOKUP(2834,Requirements!A2:B2967,2,FALSE)</f>
        <v/>
      </c>
    </row>
    <row r="9867">
      <c r="A9867" t="inlineStr">
        <is>
          <t xml:space="preserve">self </t>
        </is>
      </c>
      <c r="B9867">
        <f>VLOOKUP(3039,Requirements!A2:B2967,2,FALSE)</f>
        <v/>
      </c>
    </row>
    <row r="9868">
      <c r="A9868" t="inlineStr">
        <is>
          <t xml:space="preserve">toilet </t>
        </is>
      </c>
      <c r="B9868">
        <f>VLOOKUP(425,Requirements!A2:B2967,2,FALSE)</f>
        <v/>
      </c>
    </row>
    <row r="9869">
      <c r="A9869" t="inlineStr">
        <is>
          <t xml:space="preserve">toilet </t>
        </is>
      </c>
      <c r="B9869">
        <f>VLOOKUP(734,Requirements!A2:B2967,2,FALSE)</f>
        <v/>
      </c>
    </row>
    <row r="9870">
      <c r="A9870" t="inlineStr">
        <is>
          <t xml:space="preserve">toilet </t>
        </is>
      </c>
      <c r="B9870">
        <f>VLOOKUP(1137,Requirements!A2:B2967,2,FALSE)</f>
        <v/>
      </c>
    </row>
    <row r="9871">
      <c r="A9871" t="inlineStr">
        <is>
          <t xml:space="preserve">toilet </t>
        </is>
      </c>
      <c r="B9871">
        <f>VLOOKUP(1221,Requirements!A2:B2967,2,FALSE)</f>
        <v/>
      </c>
    </row>
    <row r="9872">
      <c r="A9872" t="inlineStr">
        <is>
          <t xml:space="preserve">toilet </t>
        </is>
      </c>
      <c r="B9872">
        <f>VLOOKUP(1277,Requirements!A2:B2967,2,FALSE)</f>
        <v/>
      </c>
    </row>
    <row r="9873">
      <c r="A9873" t="inlineStr">
        <is>
          <t xml:space="preserve">toilet </t>
        </is>
      </c>
      <c r="B9873">
        <f>VLOOKUP(1422,Requirements!A2:B2967,2,FALSE)</f>
        <v/>
      </c>
    </row>
    <row r="9874">
      <c r="A9874" t="inlineStr">
        <is>
          <t xml:space="preserve">toilet </t>
        </is>
      </c>
      <c r="B9874">
        <f>VLOOKUP(1660,Requirements!A2:B2967,2,FALSE)</f>
        <v/>
      </c>
    </row>
    <row r="9875">
      <c r="A9875" t="inlineStr">
        <is>
          <t xml:space="preserve">toilet </t>
        </is>
      </c>
      <c r="B9875">
        <f>VLOOKUP(1903,Requirements!A2:B2967,2,FALSE)</f>
        <v/>
      </c>
    </row>
    <row r="9876">
      <c r="A9876" t="inlineStr">
        <is>
          <t xml:space="preserve">toilet </t>
        </is>
      </c>
      <c r="B9876">
        <f>VLOOKUP(2210,Requirements!A2:B2967,2,FALSE)</f>
        <v/>
      </c>
    </row>
    <row r="9877">
      <c r="A9877" t="inlineStr">
        <is>
          <t xml:space="preserve">toilet </t>
        </is>
      </c>
      <c r="B9877">
        <f>VLOOKUP(2221,Requirements!A2:B2967,2,FALSE)</f>
        <v/>
      </c>
    </row>
    <row r="9878">
      <c r="A9878" t="inlineStr">
        <is>
          <t xml:space="preserve">toilet </t>
        </is>
      </c>
      <c r="B9878">
        <f>VLOOKUP(2524,Requirements!A2:B2967,2,FALSE)</f>
        <v/>
      </c>
    </row>
    <row r="9879">
      <c r="A9879" t="inlineStr">
        <is>
          <t xml:space="preserve">toilet </t>
        </is>
      </c>
      <c r="B9879">
        <f>VLOOKUP(2526,Requirements!A2:B2967,2,FALSE)</f>
        <v/>
      </c>
    </row>
    <row r="9880">
      <c r="A9880" t="inlineStr">
        <is>
          <t xml:space="preserve">toilet </t>
        </is>
      </c>
      <c r="B9880">
        <f>VLOOKUP(2553,Requirements!A2:B2967,2,FALSE)</f>
        <v/>
      </c>
    </row>
    <row r="9881">
      <c r="A9881" t="inlineStr">
        <is>
          <t xml:space="preserve">toilet </t>
        </is>
      </c>
      <c r="B9881">
        <f>VLOOKUP(2704,Requirements!A2:B2967,2,FALSE)</f>
        <v/>
      </c>
    </row>
    <row r="9882">
      <c r="A9882" t="inlineStr">
        <is>
          <t xml:space="preserve">toilet </t>
        </is>
      </c>
      <c r="B9882">
        <f>VLOOKUP(2846,Requirements!A2:B2967,2,FALSE)</f>
        <v/>
      </c>
    </row>
    <row r="9883">
      <c r="A9883" t="inlineStr">
        <is>
          <t xml:space="preserve">toilet </t>
        </is>
      </c>
      <c r="B9883">
        <f>VLOOKUP(2950,Requirements!A2:B2967,2,FALSE)</f>
        <v/>
      </c>
    </row>
    <row r="9884">
      <c r="A9884" t="inlineStr">
        <is>
          <t xml:space="preserve">toilet </t>
        </is>
      </c>
      <c r="B9884">
        <f>VLOOKUP(2962,Requirements!A2:B2967,2,FALSE)</f>
        <v/>
      </c>
    </row>
    <row r="9885">
      <c r="A9885" t="inlineStr">
        <is>
          <t xml:space="preserve">toilet </t>
        </is>
      </c>
      <c r="B9885">
        <f>VLOOKUP(2966,Requirements!A2:B2967,2,FALSE)</f>
        <v/>
      </c>
    </row>
    <row r="9886">
      <c r="A9886" t="inlineStr">
        <is>
          <t xml:space="preserve">toilet </t>
        </is>
      </c>
      <c r="B9886">
        <f>VLOOKUP(3067,Requirements!A2:B2967,2,FALSE)</f>
        <v/>
      </c>
    </row>
    <row r="9887">
      <c r="A9887" t="inlineStr">
        <is>
          <t xml:space="preserve">toilet </t>
        </is>
      </c>
      <c r="B9887">
        <f>VLOOKUP(3159,Requirements!A2:B2967,2,FALSE)</f>
        <v/>
      </c>
    </row>
    <row r="9888">
      <c r="A9888" t="inlineStr">
        <is>
          <t xml:space="preserve">toilet </t>
        </is>
      </c>
      <c r="B9888">
        <f>VLOOKUP(3211,Requirements!A2:B2967,2,FALSE)</f>
        <v/>
      </c>
    </row>
    <row r="9889">
      <c r="A9889" t="inlineStr">
        <is>
          <t xml:space="preserve">command </t>
        </is>
      </c>
      <c r="B9889">
        <f>VLOOKUP(429,Requirements!A2:B2967,2,FALSE)</f>
        <v/>
      </c>
    </row>
    <row r="9890">
      <c r="A9890" t="inlineStr">
        <is>
          <t xml:space="preserve">command </t>
        </is>
      </c>
      <c r="B9890">
        <f>VLOOKUP(916,Requirements!A2:B2967,2,FALSE)</f>
        <v/>
      </c>
    </row>
    <row r="9891">
      <c r="A9891" t="inlineStr">
        <is>
          <t xml:space="preserve">command </t>
        </is>
      </c>
      <c r="B9891">
        <f>VLOOKUP(1403,Requirements!A2:B2967,2,FALSE)</f>
        <v/>
      </c>
    </row>
    <row r="9892">
      <c r="A9892" t="inlineStr">
        <is>
          <t xml:space="preserve">command </t>
        </is>
      </c>
      <c r="B9892">
        <f>VLOOKUP(1937,Requirements!A2:B2967,2,FALSE)</f>
        <v/>
      </c>
    </row>
    <row r="9893">
      <c r="A9893" t="inlineStr">
        <is>
          <t xml:space="preserve">command </t>
        </is>
      </c>
      <c r="B9893">
        <f>VLOOKUP(2631,Requirements!A2:B2967,2,FALSE)</f>
        <v/>
      </c>
    </row>
    <row r="9894">
      <c r="A9894" t="inlineStr">
        <is>
          <t xml:space="preserve">command </t>
        </is>
      </c>
      <c r="B9894">
        <f>VLOOKUP(2638,Requirements!A2:B2967,2,FALSE)</f>
        <v/>
      </c>
    </row>
    <row r="9895">
      <c r="A9895" t="inlineStr">
        <is>
          <t xml:space="preserve">command </t>
        </is>
      </c>
      <c r="B9895">
        <f>VLOOKUP(2835,Requirements!A2:B2967,2,FALSE)</f>
        <v/>
      </c>
    </row>
    <row r="9896">
      <c r="A9896" t="inlineStr">
        <is>
          <t xml:space="preserve">command </t>
        </is>
      </c>
      <c r="B9896">
        <f>VLOOKUP(2948,Requirements!A2:B2967,2,FALSE)</f>
        <v/>
      </c>
    </row>
    <row r="9897">
      <c r="A9897" t="inlineStr">
        <is>
          <t xml:space="preserve">individual </t>
        </is>
      </c>
      <c r="B9897">
        <f>VLOOKUP(440,Requirements!A2:B2967,2,FALSE)</f>
        <v/>
      </c>
    </row>
    <row r="9898">
      <c r="A9898" t="inlineStr">
        <is>
          <t xml:space="preserve">individual </t>
        </is>
      </c>
      <c r="B9898">
        <f>VLOOKUP(1203,Requirements!A2:B2967,2,FALSE)</f>
        <v/>
      </c>
    </row>
    <row r="9899">
      <c r="A9899" t="inlineStr">
        <is>
          <t xml:space="preserve">individual </t>
        </is>
      </c>
      <c r="B9899">
        <f>VLOOKUP(1433,Requirements!A2:B2967,2,FALSE)</f>
        <v/>
      </c>
    </row>
    <row r="9900">
      <c r="A9900" t="inlineStr">
        <is>
          <t xml:space="preserve">individual </t>
        </is>
      </c>
      <c r="B9900">
        <f>VLOOKUP(1546,Requirements!A2:B2967,2,FALSE)</f>
        <v/>
      </c>
    </row>
    <row r="9901">
      <c r="A9901" t="inlineStr">
        <is>
          <t xml:space="preserve">individual </t>
        </is>
      </c>
      <c r="B9901">
        <f>VLOOKUP(2391,Requirements!A2:B2967,2,FALSE)</f>
        <v/>
      </c>
    </row>
    <row r="9902">
      <c r="A9902" t="inlineStr">
        <is>
          <t xml:space="preserve">individual </t>
        </is>
      </c>
      <c r="B9902">
        <f>VLOOKUP(3110,Requirements!A2:B2967,2,FALSE)</f>
        <v/>
      </c>
    </row>
    <row r="9903">
      <c r="A9903" t="inlineStr">
        <is>
          <t xml:space="preserve">father </t>
        </is>
      </c>
      <c r="B9903">
        <f>VLOOKUP(442,Requirements!A2:B2967,2,FALSE)</f>
        <v/>
      </c>
    </row>
    <row r="9904">
      <c r="A9904" t="inlineStr">
        <is>
          <t xml:space="preserve">father </t>
        </is>
      </c>
      <c r="B9904">
        <f>VLOOKUP(454,Requirements!A2:B2967,2,FALSE)</f>
        <v/>
      </c>
    </row>
    <row r="9905">
      <c r="A9905" t="inlineStr">
        <is>
          <t xml:space="preserve">father </t>
        </is>
      </c>
      <c r="B9905">
        <f>VLOOKUP(2488,Requirements!A2:B2967,2,FALSE)</f>
        <v/>
      </c>
    </row>
    <row r="9906">
      <c r="A9906" t="inlineStr">
        <is>
          <t xml:space="preserve">father </t>
        </is>
      </c>
      <c r="B9906">
        <f>VLOOKUP(2630,Requirements!A2:B2967,2,FALSE)</f>
        <v/>
      </c>
    </row>
    <row r="9907">
      <c r="A9907" t="inlineStr">
        <is>
          <t xml:space="preserve">father </t>
        </is>
      </c>
      <c r="B9907">
        <f>VLOOKUP(2965,Requirements!A2:B2967,2,FALSE)</f>
        <v/>
      </c>
    </row>
    <row r="9908">
      <c r="A9908" t="inlineStr">
        <is>
          <t xml:space="preserve">utility </t>
        </is>
      </c>
      <c r="B9908">
        <f>VLOOKUP(451,Requirements!A2:B2967,2,FALSE)</f>
        <v/>
      </c>
    </row>
    <row r="9909">
      <c r="A9909" t="inlineStr">
        <is>
          <t xml:space="preserve">utility </t>
        </is>
      </c>
      <c r="B9909">
        <f>VLOOKUP(701,Requirements!A2:B2967,2,FALSE)</f>
        <v/>
      </c>
    </row>
    <row r="9910">
      <c r="A9910" t="inlineStr">
        <is>
          <t xml:space="preserve">utility </t>
        </is>
      </c>
      <c r="B9910">
        <f>VLOOKUP(756,Requirements!A2:B2967,2,FALSE)</f>
        <v/>
      </c>
    </row>
    <row r="9911">
      <c r="A9911" t="inlineStr">
        <is>
          <t xml:space="preserve">utility </t>
        </is>
      </c>
      <c r="B9911">
        <f>VLOOKUP(765,Requirements!A2:B2967,2,FALSE)</f>
        <v/>
      </c>
    </row>
    <row r="9912">
      <c r="A9912" t="inlineStr">
        <is>
          <t xml:space="preserve">utility </t>
        </is>
      </c>
      <c r="B9912">
        <f>VLOOKUP(1899,Requirements!A2:B2967,2,FALSE)</f>
        <v/>
      </c>
    </row>
    <row r="9913">
      <c r="A9913" t="inlineStr">
        <is>
          <t xml:space="preserve">utility </t>
        </is>
      </c>
      <c r="B9913">
        <f>VLOOKUP(2066,Requirements!A2:B2967,2,FALSE)</f>
        <v/>
      </c>
    </row>
    <row r="9914">
      <c r="A9914" t="inlineStr">
        <is>
          <t xml:space="preserve">utility </t>
        </is>
      </c>
      <c r="B9914">
        <f>VLOOKUP(2503,Requirements!A2:B2967,2,FALSE)</f>
        <v/>
      </c>
    </row>
    <row r="9915">
      <c r="A9915" t="inlineStr">
        <is>
          <t xml:space="preserve">utility </t>
        </is>
      </c>
      <c r="B9915">
        <f>VLOOKUP(2507,Requirements!A2:B2967,2,FALSE)</f>
        <v/>
      </c>
    </row>
    <row r="9916">
      <c r="A9916" t="inlineStr">
        <is>
          <t xml:space="preserve">utility </t>
        </is>
      </c>
      <c r="B9916">
        <f>VLOOKUP(3189,Requirements!A2:B2967,2,FALSE)</f>
        <v/>
      </c>
    </row>
    <row r="9917">
      <c r="A9917" t="inlineStr">
        <is>
          <t xml:space="preserve">large </t>
        </is>
      </c>
      <c r="B9917">
        <f>VLOOKUP(451,Requirements!A2:B2967,2,FALSE)</f>
        <v/>
      </c>
    </row>
    <row r="9918">
      <c r="A9918" t="inlineStr">
        <is>
          <t xml:space="preserve">large </t>
        </is>
      </c>
      <c r="B9918">
        <f>VLOOKUP(842,Requirements!A2:B2967,2,FALSE)</f>
        <v/>
      </c>
    </row>
    <row r="9919">
      <c r="A9919" t="inlineStr">
        <is>
          <t xml:space="preserve">large </t>
        </is>
      </c>
      <c r="B9919">
        <f>VLOOKUP(1077,Requirements!A2:B2967,2,FALSE)</f>
        <v/>
      </c>
    </row>
    <row r="9920">
      <c r="A9920" t="inlineStr">
        <is>
          <t xml:space="preserve">large </t>
        </is>
      </c>
      <c r="B9920">
        <f>VLOOKUP(2237,Requirements!A2:B2967,2,FALSE)</f>
        <v/>
      </c>
    </row>
    <row r="9921">
      <c r="A9921" t="inlineStr">
        <is>
          <t xml:space="preserve">large </t>
        </is>
      </c>
      <c r="B9921">
        <f>VLOOKUP(2594,Requirements!A2:B2967,2,FALSE)</f>
        <v/>
      </c>
    </row>
    <row r="9922">
      <c r="A9922" t="inlineStr">
        <is>
          <t xml:space="preserve">next </t>
        </is>
      </c>
      <c r="B9922">
        <f>VLOOKUP(452,Requirements!A2:B2967,2,FALSE)</f>
        <v/>
      </c>
    </row>
    <row r="9923">
      <c r="A9923" t="inlineStr">
        <is>
          <t xml:space="preserve">next </t>
        </is>
      </c>
      <c r="B9923">
        <f>VLOOKUP(575,Requirements!A2:B2967,2,FALSE)</f>
        <v/>
      </c>
    </row>
    <row r="9924">
      <c r="A9924" t="inlineStr">
        <is>
          <t xml:space="preserve">next </t>
        </is>
      </c>
      <c r="B9924">
        <f>VLOOKUP(821,Requirements!A2:B2967,2,FALSE)</f>
        <v/>
      </c>
    </row>
    <row r="9925">
      <c r="A9925" t="inlineStr">
        <is>
          <t xml:space="preserve">next </t>
        </is>
      </c>
      <c r="B9925">
        <f>VLOOKUP(1186,Requirements!A2:B2967,2,FALSE)</f>
        <v/>
      </c>
    </row>
    <row r="9926">
      <c r="A9926" t="inlineStr">
        <is>
          <t xml:space="preserve">next </t>
        </is>
      </c>
      <c r="B9926">
        <f>VLOOKUP(1879,Requirements!A2:B2967,2,FALSE)</f>
        <v/>
      </c>
    </row>
    <row r="9927">
      <c r="A9927" t="inlineStr">
        <is>
          <t xml:space="preserve">next </t>
        </is>
      </c>
      <c r="B9927">
        <f>VLOOKUP(2913,Requirements!A2:B2967,2,FALSE)</f>
        <v/>
      </c>
    </row>
    <row r="9928">
      <c r="A9928" t="inlineStr">
        <is>
          <t xml:space="preserve">accident </t>
        </is>
      </c>
      <c r="B9928">
        <f>VLOOKUP(455,Requirements!A2:B2967,2,FALSE)</f>
        <v/>
      </c>
    </row>
    <row r="9929">
      <c r="A9929" t="inlineStr">
        <is>
          <t xml:space="preserve">accident </t>
        </is>
      </c>
      <c r="B9929">
        <f>VLOOKUP(1134,Requirements!A2:B2967,2,FALSE)</f>
        <v/>
      </c>
    </row>
    <row r="9930">
      <c r="A9930" t="inlineStr">
        <is>
          <t xml:space="preserve">accident </t>
        </is>
      </c>
      <c r="B9930">
        <f>VLOOKUP(1225,Requirements!A2:B2967,2,FALSE)</f>
        <v/>
      </c>
    </row>
    <row r="9931">
      <c r="A9931" t="inlineStr">
        <is>
          <t xml:space="preserve">accident </t>
        </is>
      </c>
      <c r="B9931">
        <f>VLOOKUP(1361,Requirements!A2:B2967,2,FALSE)</f>
        <v/>
      </c>
    </row>
    <row r="9932">
      <c r="A9932" t="inlineStr">
        <is>
          <t xml:space="preserve">accident </t>
        </is>
      </c>
      <c r="B9932">
        <f>VLOOKUP(1365,Requirements!A2:B2967,2,FALSE)</f>
        <v/>
      </c>
    </row>
    <row r="9933">
      <c r="A9933" t="inlineStr">
        <is>
          <t xml:space="preserve">accident </t>
        </is>
      </c>
      <c r="B9933">
        <f>VLOOKUP(1827,Requirements!A2:B2967,2,FALSE)</f>
        <v/>
      </c>
    </row>
    <row r="9934">
      <c r="A9934" t="inlineStr">
        <is>
          <t xml:space="preserve">accident </t>
        </is>
      </c>
      <c r="B9934">
        <f>VLOOKUP(2256,Requirements!A2:B2967,2,FALSE)</f>
        <v/>
      </c>
    </row>
    <row r="9935">
      <c r="A9935" t="inlineStr">
        <is>
          <t xml:space="preserve">accident </t>
        </is>
      </c>
      <c r="B9935">
        <f>VLOOKUP(3034,Requirements!A2:B2967,2,FALSE)</f>
        <v/>
      </c>
    </row>
    <row r="9936">
      <c r="A9936" t="inlineStr">
        <is>
          <t xml:space="preserve">free </t>
        </is>
      </c>
      <c r="B9936">
        <f>VLOOKUP(493,Requirements!A2:B2967,2,FALSE)</f>
        <v/>
      </c>
    </row>
    <row r="9937">
      <c r="A9937" t="inlineStr">
        <is>
          <t xml:space="preserve">free </t>
        </is>
      </c>
      <c r="B9937">
        <f>VLOOKUP(1797,Requirements!A2:B2967,2,FALSE)</f>
        <v/>
      </c>
    </row>
    <row r="9938">
      <c r="A9938" t="inlineStr">
        <is>
          <t xml:space="preserve">free </t>
        </is>
      </c>
      <c r="B9938">
        <f>VLOOKUP(2275,Requirements!A2:B2967,2,FALSE)</f>
        <v/>
      </c>
    </row>
    <row r="9939">
      <c r="A9939" t="inlineStr">
        <is>
          <t xml:space="preserve">free </t>
        </is>
      </c>
      <c r="B9939">
        <f>VLOOKUP(2582,Requirements!A2:B2967,2,FALSE)</f>
        <v/>
      </c>
    </row>
    <row r="9940">
      <c r="A9940" t="inlineStr">
        <is>
          <t xml:space="preserve">free </t>
        </is>
      </c>
      <c r="B9940">
        <f>VLOOKUP(2727,Requirements!A2:B2967,2,FALSE)</f>
        <v/>
      </c>
    </row>
    <row r="9941">
      <c r="A9941" t="inlineStr">
        <is>
          <t xml:space="preserve">free </t>
        </is>
      </c>
      <c r="B9941">
        <f>VLOOKUP(2976,Requirements!A2:B2967,2,FALSE)</f>
        <v/>
      </c>
    </row>
    <row r="9942">
      <c r="A9942" t="inlineStr">
        <is>
          <t xml:space="preserve">sunny </t>
        </is>
      </c>
      <c r="B9942">
        <f>VLOOKUP(498,Requirements!A2:B2967,2,FALSE)</f>
        <v/>
      </c>
    </row>
    <row r="9943">
      <c r="A9943" t="inlineStr">
        <is>
          <t xml:space="preserve">sunny </t>
        </is>
      </c>
      <c r="B9943">
        <f>VLOOKUP(552,Requirements!A2:B2967,2,FALSE)</f>
        <v/>
      </c>
    </row>
    <row r="9944">
      <c r="A9944" t="inlineStr">
        <is>
          <t xml:space="preserve">sunny </t>
        </is>
      </c>
      <c r="B9944">
        <f>VLOOKUP(1469,Requirements!A2:B2967,2,FALSE)</f>
        <v/>
      </c>
    </row>
    <row r="9945">
      <c r="A9945" t="inlineStr">
        <is>
          <t xml:space="preserve">sunny </t>
        </is>
      </c>
      <c r="B9945">
        <f>VLOOKUP(1509,Requirements!A2:B2967,2,FALSE)</f>
        <v/>
      </c>
    </row>
    <row r="9946">
      <c r="A9946" t="inlineStr">
        <is>
          <t xml:space="preserve">sunny </t>
        </is>
      </c>
      <c r="B9946">
        <f>VLOOKUP(2612,Requirements!A2:B2967,2,FALSE)</f>
        <v/>
      </c>
    </row>
    <row r="9947">
      <c r="A9947" t="inlineStr">
        <is>
          <t xml:space="preserve">event </t>
        </is>
      </c>
      <c r="B9947">
        <f>VLOOKUP(501,Requirements!A2:B2967,2,FALSE)</f>
        <v/>
      </c>
    </row>
    <row r="9948">
      <c r="A9948" t="inlineStr">
        <is>
          <t xml:space="preserve">event </t>
        </is>
      </c>
      <c r="B9948">
        <f>VLOOKUP(903,Requirements!A2:B2967,2,FALSE)</f>
        <v/>
      </c>
    </row>
    <row r="9949">
      <c r="A9949" t="inlineStr">
        <is>
          <t xml:space="preserve">event </t>
        </is>
      </c>
      <c r="B9949">
        <f>VLOOKUP(913,Requirements!A2:B2967,2,FALSE)</f>
        <v/>
      </c>
    </row>
    <row r="9950">
      <c r="A9950" t="inlineStr">
        <is>
          <t xml:space="preserve">event </t>
        </is>
      </c>
      <c r="B9950">
        <f>VLOOKUP(1454,Requirements!A2:B2967,2,FALSE)</f>
        <v/>
      </c>
    </row>
    <row r="9951">
      <c r="A9951" t="inlineStr">
        <is>
          <t xml:space="preserve">event </t>
        </is>
      </c>
      <c r="B9951">
        <f>VLOOKUP(1645,Requirements!A2:B2967,2,FALSE)</f>
        <v/>
      </c>
    </row>
    <row r="9952">
      <c r="A9952" t="inlineStr">
        <is>
          <t xml:space="preserve">event </t>
        </is>
      </c>
      <c r="B9952">
        <f>VLOOKUP(2143,Requirements!A2:B2967,2,FALSE)</f>
        <v/>
      </c>
    </row>
    <row r="9953">
      <c r="A9953" t="inlineStr">
        <is>
          <t xml:space="preserve">event </t>
        </is>
      </c>
      <c r="B9953">
        <f>VLOOKUP(2275,Requirements!A2:B2967,2,FALSE)</f>
        <v/>
      </c>
    </row>
    <row r="9954">
      <c r="A9954" t="inlineStr">
        <is>
          <t xml:space="preserve">event </t>
        </is>
      </c>
      <c r="B9954">
        <f>VLOOKUP(2517,Requirements!A2:B2967,2,FALSE)</f>
        <v/>
      </c>
    </row>
    <row r="9955">
      <c r="A9955" t="inlineStr">
        <is>
          <t xml:space="preserve">event </t>
        </is>
      </c>
      <c r="B9955">
        <f>VLOOKUP(2942,Requirements!A2:B2967,2,FALSE)</f>
        <v/>
      </c>
    </row>
    <row r="9956">
      <c r="A9956" t="inlineStr">
        <is>
          <t xml:space="preserve">mail </t>
        </is>
      </c>
      <c r="B9956">
        <f>VLOOKUP(523,Requirements!A2:B2967,2,FALSE)</f>
        <v/>
      </c>
    </row>
    <row r="9957">
      <c r="A9957" t="inlineStr">
        <is>
          <t xml:space="preserve">mail </t>
        </is>
      </c>
      <c r="B9957">
        <f>VLOOKUP(560,Requirements!A2:B2967,2,FALSE)</f>
        <v/>
      </c>
    </row>
    <row r="9958">
      <c r="A9958" t="inlineStr">
        <is>
          <t xml:space="preserve">mail </t>
        </is>
      </c>
      <c r="B9958">
        <f>VLOOKUP(659,Requirements!A2:B2967,2,FALSE)</f>
        <v/>
      </c>
    </row>
    <row r="9959">
      <c r="A9959" t="inlineStr">
        <is>
          <t xml:space="preserve">mail </t>
        </is>
      </c>
      <c r="B9959">
        <f>VLOOKUP(859,Requirements!A2:B2967,2,FALSE)</f>
        <v/>
      </c>
    </row>
    <row r="9960">
      <c r="A9960" t="inlineStr">
        <is>
          <t xml:space="preserve">mail </t>
        </is>
      </c>
      <c r="B9960">
        <f>VLOOKUP(1362,Requirements!A2:B2967,2,FALSE)</f>
        <v/>
      </c>
    </row>
    <row r="9961">
      <c r="A9961" t="inlineStr">
        <is>
          <t xml:space="preserve">mail </t>
        </is>
      </c>
      <c r="B9961">
        <f>VLOOKUP(1395,Requirements!A2:B2967,2,FALSE)</f>
        <v/>
      </c>
    </row>
    <row r="9962">
      <c r="A9962" t="inlineStr">
        <is>
          <t xml:space="preserve">mail </t>
        </is>
      </c>
      <c r="B9962">
        <f>VLOOKUP(1461,Requirements!A2:B2967,2,FALSE)</f>
        <v/>
      </c>
    </row>
    <row r="9963">
      <c r="A9963" t="inlineStr">
        <is>
          <t xml:space="preserve">mail </t>
        </is>
      </c>
      <c r="B9963">
        <f>VLOOKUP(1621,Requirements!A2:B2967,2,FALSE)</f>
        <v/>
      </c>
    </row>
    <row r="9964">
      <c r="A9964" t="inlineStr">
        <is>
          <t xml:space="preserve">mail </t>
        </is>
      </c>
      <c r="B9964">
        <f>VLOOKUP(1676,Requirements!A2:B2967,2,FALSE)</f>
        <v/>
      </c>
    </row>
    <row r="9965">
      <c r="A9965" t="inlineStr">
        <is>
          <t xml:space="preserve">mail </t>
        </is>
      </c>
      <c r="B9965">
        <f>VLOOKUP(1831,Requirements!A2:B2967,2,FALSE)</f>
        <v/>
      </c>
    </row>
    <row r="9966">
      <c r="A9966" t="inlineStr">
        <is>
          <t xml:space="preserve">mail </t>
        </is>
      </c>
      <c r="B9966">
        <f>VLOOKUP(1943,Requirements!A2:B2967,2,FALSE)</f>
        <v/>
      </c>
    </row>
    <row r="9967">
      <c r="A9967" t="inlineStr">
        <is>
          <t xml:space="preserve">mail </t>
        </is>
      </c>
      <c r="B9967">
        <f>VLOOKUP(2061,Requirements!A2:B2967,2,FALSE)</f>
        <v/>
      </c>
    </row>
    <row r="9968">
      <c r="A9968" t="inlineStr">
        <is>
          <t xml:space="preserve">mail </t>
        </is>
      </c>
      <c r="B9968">
        <f>VLOOKUP(2367,Requirements!A2:B2967,2,FALSE)</f>
        <v/>
      </c>
    </row>
    <row r="9969">
      <c r="A9969" t="inlineStr">
        <is>
          <t xml:space="preserve">mail </t>
        </is>
      </c>
      <c r="B9969">
        <f>VLOOKUP(2467,Requirements!A2:B2967,2,FALSE)</f>
        <v/>
      </c>
    </row>
    <row r="9970">
      <c r="A9970" t="inlineStr">
        <is>
          <t xml:space="preserve">mail </t>
        </is>
      </c>
      <c r="B9970">
        <f>VLOOKUP(2683,Requirements!A2:B2967,2,FALSE)</f>
        <v/>
      </c>
    </row>
    <row r="9971">
      <c r="A9971" t="inlineStr">
        <is>
          <t xml:space="preserve">mail </t>
        </is>
      </c>
      <c r="B9971">
        <f>VLOOKUP(3164,Requirements!A2:B2967,2,FALSE)</f>
        <v/>
      </c>
    </row>
    <row r="9972">
      <c r="A9972" t="inlineStr">
        <is>
          <t xml:space="preserve">back door </t>
        </is>
      </c>
      <c r="B9972">
        <f>VLOOKUP(534,Requirements!A2:B2967,2,FALSE)</f>
        <v/>
      </c>
    </row>
    <row r="9973">
      <c r="A9973" t="inlineStr">
        <is>
          <t xml:space="preserve">back door </t>
        </is>
      </c>
      <c r="B9973">
        <f>VLOOKUP(849,Requirements!A2:B2967,2,FALSE)</f>
        <v/>
      </c>
    </row>
    <row r="9974">
      <c r="A9974" t="inlineStr">
        <is>
          <t xml:space="preserve">back door </t>
        </is>
      </c>
      <c r="B9974">
        <f>VLOOKUP(1495,Requirements!A2:B2967,2,FALSE)</f>
        <v/>
      </c>
    </row>
    <row r="9975">
      <c r="A9975" t="inlineStr">
        <is>
          <t xml:space="preserve">back door </t>
        </is>
      </c>
      <c r="B9975">
        <f>VLOOKUP(1753,Requirements!A2:B2967,2,FALSE)</f>
        <v/>
      </c>
    </row>
    <row r="9976">
      <c r="A9976" t="inlineStr">
        <is>
          <t xml:space="preserve">back door </t>
        </is>
      </c>
      <c r="B9976">
        <f>VLOOKUP(1855,Requirements!A2:B2967,2,FALSE)</f>
        <v/>
      </c>
    </row>
    <row r="9977">
      <c r="A9977" t="inlineStr">
        <is>
          <t xml:space="preserve">back door </t>
        </is>
      </c>
      <c r="B9977">
        <f>VLOOKUP(2194,Requirements!A2:B2967,2,FALSE)</f>
        <v/>
      </c>
    </row>
    <row r="9978">
      <c r="A9978" t="inlineStr">
        <is>
          <t xml:space="preserve">back door </t>
        </is>
      </c>
      <c r="B9978">
        <f>VLOOKUP(2873,Requirements!A2:B2967,2,FALSE)</f>
        <v/>
      </c>
    </row>
    <row r="9979">
      <c r="A9979" t="inlineStr">
        <is>
          <t xml:space="preserve">back door </t>
        </is>
      </c>
      <c r="B9979">
        <f>VLOOKUP(3228,Requirements!A2:B2967,2,FALSE)</f>
        <v/>
      </c>
    </row>
    <row r="9980">
      <c r="A9980" t="inlineStr">
        <is>
          <t xml:space="preserve">weather condition </t>
        </is>
      </c>
      <c r="B9980">
        <f>VLOOKUP(542,Requirements!A2:B2967,2,FALSE)</f>
        <v/>
      </c>
    </row>
    <row r="9981">
      <c r="A9981" t="inlineStr">
        <is>
          <t xml:space="preserve">weather condition </t>
        </is>
      </c>
      <c r="B9981">
        <f>VLOOKUP(896,Requirements!A2:B2967,2,FALSE)</f>
        <v/>
      </c>
    </row>
    <row r="9982">
      <c r="A9982" t="inlineStr">
        <is>
          <t xml:space="preserve">weather condition </t>
        </is>
      </c>
      <c r="B9982">
        <f>VLOOKUP(1360,Requirements!A2:B2967,2,FALSE)</f>
        <v/>
      </c>
    </row>
    <row r="9983">
      <c r="A9983" t="inlineStr">
        <is>
          <t xml:space="preserve">weather condition </t>
        </is>
      </c>
      <c r="B9983">
        <f>VLOOKUP(1853,Requirements!A2:B2967,2,FALSE)</f>
        <v/>
      </c>
    </row>
    <row r="9984">
      <c r="A9984" t="inlineStr">
        <is>
          <t xml:space="preserve">weather condition </t>
        </is>
      </c>
      <c r="B9984">
        <f>VLOOKUP(2346,Requirements!A2:B2967,2,FALSE)</f>
        <v/>
      </c>
    </row>
    <row r="9985">
      <c r="A9985" t="inlineStr">
        <is>
          <t xml:space="preserve">matter </t>
        </is>
      </c>
      <c r="B9985">
        <f>VLOOKUP(542,Requirements!A2:B2967,2,FALSE)</f>
        <v/>
      </c>
    </row>
    <row r="9986">
      <c r="A9986" t="inlineStr">
        <is>
          <t xml:space="preserve">matter </t>
        </is>
      </c>
      <c r="B9986">
        <f>VLOOKUP(821,Requirements!A2:B2967,2,FALSE)</f>
        <v/>
      </c>
    </row>
    <row r="9987">
      <c r="A9987" t="inlineStr">
        <is>
          <t xml:space="preserve">matter </t>
        </is>
      </c>
      <c r="B9987">
        <f>VLOOKUP(1162,Requirements!A2:B2967,2,FALSE)</f>
        <v/>
      </c>
    </row>
    <row r="9988">
      <c r="A9988" t="inlineStr">
        <is>
          <t xml:space="preserve">matter </t>
        </is>
      </c>
      <c r="B9988">
        <f>VLOOKUP(1391,Requirements!A2:B2967,2,FALSE)</f>
        <v/>
      </c>
    </row>
    <row r="9989">
      <c r="A9989" t="inlineStr">
        <is>
          <t xml:space="preserve">matter </t>
        </is>
      </c>
      <c r="B9989">
        <f>VLOOKUP(1406,Requirements!A2:B2967,2,FALSE)</f>
        <v/>
      </c>
    </row>
    <row r="9990">
      <c r="A9990" t="inlineStr">
        <is>
          <t xml:space="preserve">matter </t>
        </is>
      </c>
      <c r="B9990">
        <f>VLOOKUP(1863,Requirements!A2:B2967,2,FALSE)</f>
        <v/>
      </c>
    </row>
    <row r="9991">
      <c r="A9991" t="inlineStr">
        <is>
          <t xml:space="preserve">matter </t>
        </is>
      </c>
      <c r="B9991">
        <f>VLOOKUP(2010,Requirements!A2:B2967,2,FALSE)</f>
        <v/>
      </c>
    </row>
    <row r="9992">
      <c r="A9992" t="inlineStr">
        <is>
          <t xml:space="preserve">matter </t>
        </is>
      </c>
      <c r="B9992">
        <f>VLOOKUP(2466,Requirements!A2:B2967,2,FALSE)</f>
        <v/>
      </c>
    </row>
    <row r="9993">
      <c r="A9993" t="inlineStr">
        <is>
          <t xml:space="preserve">matter </t>
        </is>
      </c>
      <c r="B9993">
        <f>VLOOKUP(3030,Requirements!A2:B2967,2,FALSE)</f>
        <v/>
      </c>
    </row>
    <row r="9994">
      <c r="A9994" t="inlineStr">
        <is>
          <t xml:space="preserve">quality </t>
        </is>
      </c>
      <c r="B9994">
        <f>VLOOKUP(553,Requirements!A2:B2967,2,FALSE)</f>
        <v/>
      </c>
    </row>
    <row r="9995">
      <c r="A9995" t="inlineStr">
        <is>
          <t xml:space="preserve">quality </t>
        </is>
      </c>
      <c r="B9995">
        <f>VLOOKUP(769,Requirements!A2:B2967,2,FALSE)</f>
        <v/>
      </c>
    </row>
    <row r="9996">
      <c r="A9996" t="inlineStr">
        <is>
          <t xml:space="preserve">quality </t>
        </is>
      </c>
      <c r="B9996">
        <f>VLOOKUP(837,Requirements!A2:B2967,2,FALSE)</f>
        <v/>
      </c>
    </row>
    <row r="9997">
      <c r="A9997" t="inlineStr">
        <is>
          <t xml:space="preserve">quality </t>
        </is>
      </c>
      <c r="B9997">
        <f>VLOOKUP(3013,Requirements!A2:B2967,2,FALSE)</f>
        <v/>
      </c>
    </row>
    <row r="9998">
      <c r="A9998" t="inlineStr">
        <is>
          <t xml:space="preserve">quality </t>
        </is>
      </c>
      <c r="B9998">
        <f>VLOOKUP(3075,Requirements!A2:B2967,2,FALSE)</f>
        <v/>
      </c>
    </row>
    <row r="9999">
      <c r="A9999" t="inlineStr">
        <is>
          <t xml:space="preserve">program </t>
        </is>
      </c>
      <c r="B9999">
        <f>VLOOKUP(562,Requirements!A2:B2967,2,FALSE)</f>
        <v/>
      </c>
    </row>
    <row r="10000">
      <c r="A10000" t="inlineStr">
        <is>
          <t xml:space="preserve">program </t>
        </is>
      </c>
      <c r="B10000">
        <f>VLOOKUP(961,Requirements!A2:B2967,2,FALSE)</f>
        <v/>
      </c>
    </row>
    <row r="10001">
      <c r="A10001" t="inlineStr">
        <is>
          <t xml:space="preserve">program </t>
        </is>
      </c>
      <c r="B10001">
        <f>VLOOKUP(1195,Requirements!A2:B2967,2,FALSE)</f>
        <v/>
      </c>
    </row>
    <row r="10002">
      <c r="A10002" t="inlineStr">
        <is>
          <t xml:space="preserve">program </t>
        </is>
      </c>
      <c r="B10002">
        <f>VLOOKUP(1390,Requirements!A2:B2967,2,FALSE)</f>
        <v/>
      </c>
    </row>
    <row r="10003">
      <c r="A10003" t="inlineStr">
        <is>
          <t xml:space="preserve">program </t>
        </is>
      </c>
      <c r="B10003">
        <f>VLOOKUP(1433,Requirements!A2:B2967,2,FALSE)</f>
        <v/>
      </c>
    </row>
    <row r="10004">
      <c r="A10004" t="inlineStr">
        <is>
          <t xml:space="preserve">program </t>
        </is>
      </c>
      <c r="B10004">
        <f>VLOOKUP(1437,Requirements!A2:B2967,2,FALSE)</f>
        <v/>
      </c>
    </row>
    <row r="10005">
      <c r="A10005" t="inlineStr">
        <is>
          <t xml:space="preserve">program </t>
        </is>
      </c>
      <c r="B10005">
        <f>VLOOKUP(1823,Requirements!A2:B2967,2,FALSE)</f>
        <v/>
      </c>
    </row>
    <row r="10006">
      <c r="A10006" t="inlineStr">
        <is>
          <t xml:space="preserve">program </t>
        </is>
      </c>
      <c r="B10006">
        <f>VLOOKUP(2114,Requirements!A2:B2967,2,FALSE)</f>
        <v/>
      </c>
    </row>
    <row r="10007">
      <c r="A10007" t="inlineStr">
        <is>
          <t xml:space="preserve">program </t>
        </is>
      </c>
      <c r="B10007">
        <f>VLOOKUP(2306,Requirements!A2:B2967,2,FALSE)</f>
        <v/>
      </c>
    </row>
    <row r="10008">
      <c r="A10008" t="inlineStr">
        <is>
          <t xml:space="preserve">program </t>
        </is>
      </c>
      <c r="B10008">
        <f>VLOOKUP(2484,Requirements!A2:B2967,2,FALSE)</f>
        <v/>
      </c>
    </row>
    <row r="10009">
      <c r="A10009" t="inlineStr">
        <is>
          <t xml:space="preserve">program </t>
        </is>
      </c>
      <c r="B10009">
        <f>VLOOKUP(2528,Requirements!A2:B2967,2,FALSE)</f>
        <v/>
      </c>
    </row>
    <row r="10010">
      <c r="A10010" t="inlineStr">
        <is>
          <t xml:space="preserve">program </t>
        </is>
      </c>
      <c r="B10010">
        <f>VLOOKUP(2748,Requirements!A2:B2967,2,FALSE)</f>
        <v/>
      </c>
    </row>
    <row r="10011">
      <c r="A10011" t="inlineStr">
        <is>
          <t xml:space="preserve">program </t>
        </is>
      </c>
      <c r="B10011">
        <f>VLOOKUP(3089,Requirements!A2:B2967,2,FALSE)</f>
        <v/>
      </c>
    </row>
    <row r="10012">
      <c r="A10012" t="inlineStr">
        <is>
          <t xml:space="preserve">program </t>
        </is>
      </c>
      <c r="B10012">
        <f>VLOOKUP(3117,Requirements!A2:B2967,2,FALSE)</f>
        <v/>
      </c>
    </row>
    <row r="10013">
      <c r="A10013" t="inlineStr">
        <is>
          <t xml:space="preserve">program </t>
        </is>
      </c>
      <c r="B10013">
        <f>VLOOKUP(3134,Requirements!A2:B2967,2,FALSE)</f>
        <v/>
      </c>
    </row>
    <row r="10014">
      <c r="A10014" t="inlineStr">
        <is>
          <t xml:space="preserve">program </t>
        </is>
      </c>
      <c r="B10014">
        <f>VLOOKUP(3164,Requirements!A2:B2967,2,FALSE)</f>
        <v/>
      </c>
    </row>
    <row r="10015">
      <c r="A10015" t="inlineStr">
        <is>
          <t xml:space="preserve">program </t>
        </is>
      </c>
      <c r="B10015">
        <f>VLOOKUP(3202,Requirements!A2:B2967,2,FALSE)</f>
        <v/>
      </c>
    </row>
    <row r="10016">
      <c r="A10016" t="inlineStr">
        <is>
          <t xml:space="preserve">program </t>
        </is>
      </c>
      <c r="B10016">
        <f>VLOOKUP(3253,Requirements!A2:B2967,2,FALSE)</f>
        <v/>
      </c>
    </row>
    <row r="10017">
      <c r="A10017" t="inlineStr">
        <is>
          <t xml:space="preserve">preference </t>
        </is>
      </c>
      <c r="B10017">
        <f>VLOOKUP(577,Requirements!A2:B2967,2,FALSE)</f>
        <v/>
      </c>
    </row>
    <row r="10018">
      <c r="A10018" t="inlineStr">
        <is>
          <t xml:space="preserve">preference </t>
        </is>
      </c>
      <c r="B10018">
        <f>VLOOKUP(847,Requirements!A2:B2967,2,FALSE)</f>
        <v/>
      </c>
    </row>
    <row r="10019">
      <c r="A10019" t="inlineStr">
        <is>
          <t xml:space="preserve">preference </t>
        </is>
      </c>
      <c r="B10019">
        <f>VLOOKUP(1311,Requirements!A2:B2967,2,FALSE)</f>
        <v/>
      </c>
    </row>
    <row r="10020">
      <c r="A10020" t="inlineStr">
        <is>
          <t xml:space="preserve">preference </t>
        </is>
      </c>
      <c r="B10020">
        <f>VLOOKUP(1981,Requirements!A2:B2967,2,FALSE)</f>
        <v/>
      </c>
    </row>
    <row r="10021">
      <c r="A10021" t="inlineStr">
        <is>
          <t xml:space="preserve">preference </t>
        </is>
      </c>
      <c r="B10021">
        <f>VLOOKUP(2120,Requirements!A2:B2967,2,FALSE)</f>
        <v/>
      </c>
    </row>
    <row r="10022">
      <c r="A10022" t="inlineStr">
        <is>
          <t xml:space="preserve">preference </t>
        </is>
      </c>
      <c r="B10022">
        <f>VLOOKUP(2262,Requirements!A2:B2967,2,FALSE)</f>
        <v/>
      </c>
    </row>
    <row r="10023">
      <c r="A10023" t="inlineStr">
        <is>
          <t xml:space="preserve">preference </t>
        </is>
      </c>
      <c r="B10023">
        <f>VLOOKUP(3077,Requirements!A2:B2967,2,FALSE)</f>
        <v/>
      </c>
    </row>
    <row r="10024">
      <c r="A10024" t="inlineStr">
        <is>
          <t xml:space="preserve">clothes </t>
        </is>
      </c>
      <c r="B10024">
        <f>VLOOKUP(580,Requirements!A2:B2967,2,FALSE)</f>
        <v/>
      </c>
    </row>
    <row r="10025">
      <c r="A10025" t="inlineStr">
        <is>
          <t xml:space="preserve">clothes </t>
        </is>
      </c>
      <c r="B10025">
        <f>VLOOKUP(795,Requirements!A2:B2967,2,FALSE)</f>
        <v/>
      </c>
    </row>
    <row r="10026">
      <c r="A10026" t="inlineStr">
        <is>
          <t xml:space="preserve">clothes </t>
        </is>
      </c>
      <c r="B10026">
        <f>VLOOKUP(1038,Requirements!A2:B2967,2,FALSE)</f>
        <v/>
      </c>
    </row>
    <row r="10027">
      <c r="A10027" t="inlineStr">
        <is>
          <t xml:space="preserve">clothes </t>
        </is>
      </c>
      <c r="B10027">
        <f>VLOOKUP(1156,Requirements!A2:B2967,2,FALSE)</f>
        <v/>
      </c>
    </row>
    <row r="10028">
      <c r="A10028" t="inlineStr">
        <is>
          <t xml:space="preserve">clothes </t>
        </is>
      </c>
      <c r="B10028">
        <f>VLOOKUP(1202,Requirements!A2:B2967,2,FALSE)</f>
        <v/>
      </c>
    </row>
    <row r="10029">
      <c r="A10029" t="inlineStr">
        <is>
          <t xml:space="preserve">clothes </t>
        </is>
      </c>
      <c r="B10029">
        <f>VLOOKUP(1271,Requirements!A2:B2967,2,FALSE)</f>
        <v/>
      </c>
    </row>
    <row r="10030">
      <c r="A10030" t="inlineStr">
        <is>
          <t xml:space="preserve">clothes </t>
        </is>
      </c>
      <c r="B10030">
        <f>VLOOKUP(1289,Requirements!A2:B2967,2,FALSE)</f>
        <v/>
      </c>
    </row>
    <row r="10031">
      <c r="A10031" t="inlineStr">
        <is>
          <t xml:space="preserve">clothes </t>
        </is>
      </c>
      <c r="B10031">
        <f>VLOOKUP(1295,Requirements!A2:B2967,2,FALSE)</f>
        <v/>
      </c>
    </row>
    <row r="10032">
      <c r="A10032" t="inlineStr">
        <is>
          <t xml:space="preserve">clothes </t>
        </is>
      </c>
      <c r="B10032">
        <f>VLOOKUP(1357,Requirements!A2:B2967,2,FALSE)</f>
        <v/>
      </c>
    </row>
    <row r="10033">
      <c r="A10033" t="inlineStr">
        <is>
          <t xml:space="preserve">clothes </t>
        </is>
      </c>
      <c r="B10033">
        <f>VLOOKUP(1700,Requirements!A2:B2967,2,FALSE)</f>
        <v/>
      </c>
    </row>
    <row r="10034">
      <c r="A10034" t="inlineStr">
        <is>
          <t xml:space="preserve">clothes </t>
        </is>
      </c>
      <c r="B10034">
        <f>VLOOKUP(1847,Requirements!A2:B2967,2,FALSE)</f>
        <v/>
      </c>
    </row>
    <row r="10035">
      <c r="A10035" t="inlineStr">
        <is>
          <t xml:space="preserve">clothes </t>
        </is>
      </c>
      <c r="B10035">
        <f>VLOOKUP(1981,Requirements!A2:B2967,2,FALSE)</f>
        <v/>
      </c>
    </row>
    <row r="10036">
      <c r="A10036" t="inlineStr">
        <is>
          <t xml:space="preserve">clothes </t>
        </is>
      </c>
      <c r="B10036">
        <f>VLOOKUP(2035,Requirements!A2:B2967,2,FALSE)</f>
        <v/>
      </c>
    </row>
    <row r="10037">
      <c r="A10037" t="inlineStr">
        <is>
          <t xml:space="preserve">clothes </t>
        </is>
      </c>
      <c r="B10037">
        <f>VLOOKUP(2244,Requirements!A2:B2967,2,FALSE)</f>
        <v/>
      </c>
    </row>
    <row r="10038">
      <c r="A10038" t="inlineStr">
        <is>
          <t xml:space="preserve">clothes </t>
        </is>
      </c>
      <c r="B10038">
        <f>VLOOKUP(2247,Requirements!A2:B2967,2,FALSE)</f>
        <v/>
      </c>
    </row>
    <row r="10039">
      <c r="A10039" t="inlineStr">
        <is>
          <t xml:space="preserve">clothes </t>
        </is>
      </c>
      <c r="B10039">
        <f>VLOOKUP(2258,Requirements!A2:B2967,2,FALSE)</f>
        <v/>
      </c>
    </row>
    <row r="10040">
      <c r="A10040" t="inlineStr">
        <is>
          <t xml:space="preserve">clothes </t>
        </is>
      </c>
      <c r="B10040">
        <f>VLOOKUP(2560,Requirements!A2:B2967,2,FALSE)</f>
        <v/>
      </c>
    </row>
    <row r="10041">
      <c r="A10041" t="inlineStr">
        <is>
          <t xml:space="preserve">clothes </t>
        </is>
      </c>
      <c r="B10041">
        <f>VLOOKUP(2575,Requirements!A2:B2967,2,FALSE)</f>
        <v/>
      </c>
    </row>
    <row r="10042">
      <c r="A10042" t="inlineStr">
        <is>
          <t xml:space="preserve">clothes </t>
        </is>
      </c>
      <c r="B10042">
        <f>VLOOKUP(2681,Requirements!A2:B2967,2,FALSE)</f>
        <v/>
      </c>
    </row>
    <row r="10043">
      <c r="A10043" t="inlineStr">
        <is>
          <t xml:space="preserve">clothes </t>
        </is>
      </c>
      <c r="B10043">
        <f>VLOOKUP(2719,Requirements!A2:B2967,2,FALSE)</f>
        <v/>
      </c>
    </row>
    <row r="10044">
      <c r="A10044" t="inlineStr">
        <is>
          <t xml:space="preserve">clothes </t>
        </is>
      </c>
      <c r="B10044">
        <f>VLOOKUP(2740,Requirements!A2:B2967,2,FALSE)</f>
        <v/>
      </c>
    </row>
    <row r="10045">
      <c r="A10045" t="inlineStr">
        <is>
          <t xml:space="preserve">clothes </t>
        </is>
      </c>
      <c r="B10045">
        <f>VLOOKUP(2783,Requirements!A2:B2967,2,FALSE)</f>
        <v/>
      </c>
    </row>
    <row r="10046">
      <c r="A10046" t="inlineStr">
        <is>
          <t xml:space="preserve">clothes </t>
        </is>
      </c>
      <c r="B10046">
        <f>VLOOKUP(2903,Requirements!A2:B2967,2,FALSE)</f>
        <v/>
      </c>
    </row>
    <row r="10047">
      <c r="A10047" t="inlineStr">
        <is>
          <t xml:space="preserve">clothes </t>
        </is>
      </c>
      <c r="B10047">
        <f>VLOOKUP(2932,Requirements!A2:B2967,2,FALSE)</f>
        <v/>
      </c>
    </row>
    <row r="10048">
      <c r="A10048" t="inlineStr">
        <is>
          <t xml:space="preserve">clothes </t>
        </is>
      </c>
      <c r="B10048">
        <f>VLOOKUP(2947,Requirements!A2:B2967,2,FALSE)</f>
        <v/>
      </c>
    </row>
    <row r="10049">
      <c r="A10049" t="inlineStr">
        <is>
          <t xml:space="preserve">clothes </t>
        </is>
      </c>
      <c r="B10049">
        <f>VLOOKUP(3070,Requirements!A2:B2967,2,FALSE)</f>
        <v/>
      </c>
    </row>
    <row r="10050">
      <c r="A10050" t="inlineStr">
        <is>
          <t xml:space="preserve">clothes </t>
        </is>
      </c>
      <c r="B10050">
        <f>VLOOKUP(3184,Requirements!A2:B2967,2,FALSE)</f>
        <v/>
      </c>
    </row>
    <row r="10051">
      <c r="A10051" t="inlineStr">
        <is>
          <t xml:space="preserve">clothes </t>
        </is>
      </c>
      <c r="B10051">
        <f>VLOOKUP(3230,Requirements!A2:B2967,2,FALSE)</f>
        <v/>
      </c>
    </row>
    <row r="10052">
      <c r="A10052" t="inlineStr">
        <is>
          <t xml:space="preserve">clothes </t>
        </is>
      </c>
      <c r="B10052">
        <f>VLOOKUP(3237,Requirements!A2:B2967,2,FALSE)</f>
        <v/>
      </c>
    </row>
    <row r="10053">
      <c r="A10053" t="inlineStr">
        <is>
          <t xml:space="preserve">supply </t>
        </is>
      </c>
      <c r="B10053">
        <f>VLOOKUP(582,Requirements!A2:B2967,2,FALSE)</f>
        <v/>
      </c>
    </row>
    <row r="10054">
      <c r="A10054" t="inlineStr">
        <is>
          <t xml:space="preserve">supply </t>
        </is>
      </c>
      <c r="B10054">
        <f>VLOOKUP(1873,Requirements!A2:B2967,2,FALSE)</f>
        <v/>
      </c>
    </row>
    <row r="10055">
      <c r="A10055" t="inlineStr">
        <is>
          <t xml:space="preserve">supply </t>
        </is>
      </c>
      <c r="B10055">
        <f>VLOOKUP(1976,Requirements!A2:B2967,2,FALSE)</f>
        <v/>
      </c>
    </row>
    <row r="10056">
      <c r="A10056" t="inlineStr">
        <is>
          <t xml:space="preserve">supply </t>
        </is>
      </c>
      <c r="B10056">
        <f>VLOOKUP(2222,Requirements!A2:B2967,2,FALSE)</f>
        <v/>
      </c>
    </row>
    <row r="10057">
      <c r="A10057" t="inlineStr">
        <is>
          <t xml:space="preserve">supply </t>
        </is>
      </c>
      <c r="B10057">
        <f>VLOOKUP(2771,Requirements!A2:B2967,2,FALSE)</f>
        <v/>
      </c>
    </row>
    <row r="10058">
      <c r="A10058" t="inlineStr">
        <is>
          <t xml:space="preserve">supply </t>
        </is>
      </c>
      <c r="B10058">
        <f>VLOOKUP(2949,Requirements!A2:B2967,2,FALSE)</f>
        <v/>
      </c>
    </row>
    <row r="10059">
      <c r="A10059" t="inlineStr">
        <is>
          <t xml:space="preserve">clothing </t>
        </is>
      </c>
      <c r="B10059">
        <f>VLOOKUP(583,Requirements!A2:B2967,2,FALSE)</f>
        <v/>
      </c>
    </row>
    <row r="10060">
      <c r="A10060" t="inlineStr">
        <is>
          <t xml:space="preserve">clothing </t>
        </is>
      </c>
      <c r="B10060">
        <f>VLOOKUP(1202,Requirements!A2:B2967,2,FALSE)</f>
        <v/>
      </c>
    </row>
    <row r="10061">
      <c r="A10061" t="inlineStr">
        <is>
          <t xml:space="preserve">clothing </t>
        </is>
      </c>
      <c r="B10061">
        <f>VLOOKUP(1289,Requirements!A2:B2967,2,FALSE)</f>
        <v/>
      </c>
    </row>
    <row r="10062">
      <c r="A10062" t="inlineStr">
        <is>
          <t xml:space="preserve">clothing </t>
        </is>
      </c>
      <c r="B10062">
        <f>VLOOKUP(2033,Requirements!A2:B2967,2,FALSE)</f>
        <v/>
      </c>
    </row>
    <row r="10063">
      <c r="A10063" t="inlineStr">
        <is>
          <t xml:space="preserve">clothing </t>
        </is>
      </c>
      <c r="B10063">
        <f>VLOOKUP(3237,Requirements!A2:B2967,2,FALSE)</f>
        <v/>
      </c>
    </row>
    <row r="10064">
      <c r="A10064" t="inlineStr">
        <is>
          <t xml:space="preserve">waste time </t>
        </is>
      </c>
      <c r="B10064">
        <f>VLOOKUP(631,Requirements!A2:B2967,2,FALSE)</f>
        <v/>
      </c>
    </row>
    <row r="10065">
      <c r="A10065" t="inlineStr">
        <is>
          <t xml:space="preserve">waste time </t>
        </is>
      </c>
      <c r="B10065">
        <f>VLOOKUP(1546,Requirements!A2:B2967,2,FALSE)</f>
        <v/>
      </c>
    </row>
    <row r="10066">
      <c r="A10066" t="inlineStr">
        <is>
          <t xml:space="preserve">waste time </t>
        </is>
      </c>
      <c r="B10066">
        <f>VLOOKUP(2200,Requirements!A2:B2967,2,FALSE)</f>
        <v/>
      </c>
    </row>
    <row r="10067">
      <c r="A10067" t="inlineStr">
        <is>
          <t xml:space="preserve">waste time </t>
        </is>
      </c>
      <c r="B10067">
        <f>VLOOKUP(2668,Requirements!A2:B2967,2,FALSE)</f>
        <v/>
      </c>
    </row>
    <row r="10068">
      <c r="A10068" t="inlineStr">
        <is>
          <t xml:space="preserve">waste time </t>
        </is>
      </c>
      <c r="B10068">
        <f>VLOOKUP(2731,Requirements!A2:B2967,2,FALSE)</f>
        <v/>
      </c>
    </row>
    <row r="10069">
      <c r="A10069" t="inlineStr">
        <is>
          <t xml:space="preserve">automatic light </t>
        </is>
      </c>
      <c r="B10069">
        <f>VLOOKUP(649,Requirements!A2:B2967,2,FALSE)</f>
        <v/>
      </c>
    </row>
    <row r="10070">
      <c r="A10070" t="inlineStr">
        <is>
          <t xml:space="preserve">automatic light </t>
        </is>
      </c>
      <c r="B10070">
        <f>VLOOKUP(725,Requirements!A2:B2967,2,FALSE)</f>
        <v/>
      </c>
    </row>
    <row r="10071">
      <c r="A10071" t="inlineStr">
        <is>
          <t xml:space="preserve">automatic light </t>
        </is>
      </c>
      <c r="B10071">
        <f>VLOOKUP(1833,Requirements!A2:B2967,2,FALSE)</f>
        <v/>
      </c>
    </row>
    <row r="10072">
      <c r="A10072" t="inlineStr">
        <is>
          <t xml:space="preserve">automatic light </t>
        </is>
      </c>
      <c r="B10072">
        <f>VLOOKUP(2725,Requirements!A2:B2967,2,FALSE)</f>
        <v/>
      </c>
    </row>
    <row r="10073">
      <c r="A10073" t="inlineStr">
        <is>
          <t xml:space="preserve">automatic light </t>
        </is>
      </c>
      <c r="B10073">
        <f>VLOOKUP(3138,Requirements!A2:B2967,2,FALSE)</f>
        <v/>
      </c>
    </row>
    <row r="10074">
      <c r="A10074" t="inlineStr">
        <is>
          <t xml:space="preserve">play </t>
        </is>
      </c>
      <c r="B10074">
        <f>VLOOKUP(650,Requirements!A2:B2967,2,FALSE)</f>
        <v/>
      </c>
    </row>
    <row r="10075">
      <c r="A10075" t="inlineStr">
        <is>
          <t xml:space="preserve">play </t>
        </is>
      </c>
      <c r="B10075">
        <f>VLOOKUP(1307,Requirements!A2:B2967,2,FALSE)</f>
        <v/>
      </c>
    </row>
    <row r="10076">
      <c r="A10076" t="inlineStr">
        <is>
          <t xml:space="preserve">play </t>
        </is>
      </c>
      <c r="B10076">
        <f>VLOOKUP(1704,Requirements!A2:B2967,2,FALSE)</f>
        <v/>
      </c>
    </row>
    <row r="10077">
      <c r="A10077" t="inlineStr">
        <is>
          <t xml:space="preserve">play </t>
        </is>
      </c>
      <c r="B10077">
        <f>VLOOKUP(2134,Requirements!A2:B2967,2,FALSE)</f>
        <v/>
      </c>
    </row>
    <row r="10078">
      <c r="A10078" t="inlineStr">
        <is>
          <t xml:space="preserve">play </t>
        </is>
      </c>
      <c r="B10078">
        <f>VLOOKUP(2234,Requirements!A2:B2967,2,FALSE)</f>
        <v/>
      </c>
    </row>
    <row r="10079">
      <c r="A10079" t="inlineStr">
        <is>
          <t xml:space="preserve">car owner </t>
        </is>
      </c>
      <c r="B10079">
        <f>VLOOKUP(669,Requirements!A2:B2967,2,FALSE)</f>
        <v/>
      </c>
    </row>
    <row r="10080">
      <c r="A10080" t="inlineStr">
        <is>
          <t xml:space="preserve">car owner </t>
        </is>
      </c>
      <c r="B10080">
        <f>VLOOKUP(1191,Requirements!A2:B2967,2,FALSE)</f>
        <v/>
      </c>
    </row>
    <row r="10081">
      <c r="A10081" t="inlineStr">
        <is>
          <t xml:space="preserve">car owner </t>
        </is>
      </c>
      <c r="B10081">
        <f>VLOOKUP(1971,Requirements!A2:B2967,2,FALSE)</f>
        <v/>
      </c>
    </row>
    <row r="10082">
      <c r="A10082" t="inlineStr">
        <is>
          <t xml:space="preserve">car owner </t>
        </is>
      </c>
      <c r="B10082">
        <f>VLOOKUP(2012,Requirements!A2:B2967,2,FALSE)</f>
        <v/>
      </c>
    </row>
    <row r="10083">
      <c r="A10083" t="inlineStr">
        <is>
          <t xml:space="preserve">car owner </t>
        </is>
      </c>
      <c r="B10083">
        <f>VLOOKUP(2202,Requirements!A2:B2967,2,FALSE)</f>
        <v/>
      </c>
    </row>
    <row r="10084">
      <c r="A10084" t="inlineStr">
        <is>
          <t xml:space="preserve">car owner </t>
        </is>
      </c>
      <c r="B10084">
        <f>VLOOKUP(2639,Requirements!A2:B2967,2,FALSE)</f>
        <v/>
      </c>
    </row>
    <row r="10085">
      <c r="A10085" t="inlineStr">
        <is>
          <t xml:space="preserve">car owner </t>
        </is>
      </c>
      <c r="B10085">
        <f>VLOOKUP(2742,Requirements!A2:B2967,2,FALSE)</f>
        <v/>
      </c>
    </row>
    <row r="10086">
      <c r="A10086" t="inlineStr">
        <is>
          <t xml:space="preserve">car owner </t>
        </is>
      </c>
      <c r="B10086">
        <f>VLOOKUP(2818,Requirements!A2:B2967,2,FALSE)</f>
        <v/>
      </c>
    </row>
    <row r="10087">
      <c r="A10087" t="inlineStr">
        <is>
          <t xml:space="preserve">car owner </t>
        </is>
      </c>
      <c r="B10087">
        <f>VLOOKUP(3251,Requirements!A2:B2967,2,FALSE)</f>
        <v/>
      </c>
    </row>
    <row r="10088">
      <c r="A10088" t="inlineStr">
        <is>
          <t xml:space="preserve">everyone </t>
        </is>
      </c>
      <c r="B10088">
        <f>VLOOKUP(675,Requirements!A2:B2967,2,FALSE)</f>
        <v/>
      </c>
    </row>
    <row r="10089">
      <c r="A10089" t="inlineStr">
        <is>
          <t xml:space="preserve">everyone </t>
        </is>
      </c>
      <c r="B10089">
        <f>VLOOKUP(786,Requirements!A2:B2967,2,FALSE)</f>
        <v/>
      </c>
    </row>
    <row r="10090">
      <c r="A10090" t="inlineStr">
        <is>
          <t xml:space="preserve">everyone </t>
        </is>
      </c>
      <c r="B10090">
        <f>VLOOKUP(1171,Requirements!A2:B2967,2,FALSE)</f>
        <v/>
      </c>
    </row>
    <row r="10091">
      <c r="A10091" t="inlineStr">
        <is>
          <t xml:space="preserve">everyone </t>
        </is>
      </c>
      <c r="B10091">
        <f>VLOOKUP(1293,Requirements!A2:B2967,2,FALSE)</f>
        <v/>
      </c>
    </row>
    <row r="10092">
      <c r="A10092" t="inlineStr">
        <is>
          <t xml:space="preserve">everyone </t>
        </is>
      </c>
      <c r="B10092">
        <f>VLOOKUP(1684,Requirements!A2:B2967,2,FALSE)</f>
        <v/>
      </c>
    </row>
    <row r="10093">
      <c r="A10093" t="inlineStr">
        <is>
          <t xml:space="preserve">everyone </t>
        </is>
      </c>
      <c r="B10093">
        <f>VLOOKUP(1839,Requirements!A2:B2967,2,FALSE)</f>
        <v/>
      </c>
    </row>
    <row r="10094">
      <c r="A10094" t="inlineStr">
        <is>
          <t xml:space="preserve">everyone </t>
        </is>
      </c>
      <c r="B10094">
        <f>VLOOKUP(2290,Requirements!A2:B2967,2,FALSE)</f>
        <v/>
      </c>
    </row>
    <row r="10095">
      <c r="A10095" t="inlineStr">
        <is>
          <t xml:space="preserve">everyone </t>
        </is>
      </c>
      <c r="B10095">
        <f>VLOOKUP(2395,Requirements!A2:B2967,2,FALSE)</f>
        <v/>
      </c>
    </row>
    <row r="10096">
      <c r="A10096" t="inlineStr">
        <is>
          <t xml:space="preserve">everyone </t>
        </is>
      </c>
      <c r="B10096">
        <f>VLOOKUP(2757,Requirements!A2:B2967,2,FALSE)</f>
        <v/>
      </c>
    </row>
    <row r="10097">
      <c r="A10097" t="inlineStr">
        <is>
          <t xml:space="preserve">everyone </t>
        </is>
      </c>
      <c r="B10097">
        <f>VLOOKUP(3032,Requirements!A2:B2967,2,FALSE)</f>
        <v/>
      </c>
    </row>
    <row r="10098">
      <c r="A10098" t="inlineStr">
        <is>
          <t xml:space="preserve">everyone </t>
        </is>
      </c>
      <c r="B10098">
        <f>VLOOKUP(3140,Requirements!A2:B2967,2,FALSE)</f>
        <v/>
      </c>
    </row>
    <row r="10099">
      <c r="A10099" t="inlineStr">
        <is>
          <t xml:space="preserve">everyone </t>
        </is>
      </c>
      <c r="B10099">
        <f>VLOOKUP(3181,Requirements!A2:B2967,2,FALSE)</f>
        <v/>
      </c>
    </row>
    <row r="10100">
      <c r="A10100" t="inlineStr">
        <is>
          <t xml:space="preserve">everyone </t>
        </is>
      </c>
      <c r="B10100">
        <f>VLOOKUP(3274,Requirements!A2:B2967,2,FALSE)</f>
        <v/>
      </c>
    </row>
    <row r="10101">
      <c r="A10101" t="inlineStr">
        <is>
          <t xml:space="preserve">rain </t>
        </is>
      </c>
      <c r="B10101">
        <f>VLOOKUP(692,Requirements!A2:B2967,2,FALSE)</f>
        <v/>
      </c>
    </row>
    <row r="10102">
      <c r="A10102" t="inlineStr">
        <is>
          <t xml:space="preserve">rain </t>
        </is>
      </c>
      <c r="B10102">
        <f>VLOOKUP(953,Requirements!A2:B2967,2,FALSE)</f>
        <v/>
      </c>
    </row>
    <row r="10103">
      <c r="A10103" t="inlineStr">
        <is>
          <t xml:space="preserve">rain </t>
        </is>
      </c>
      <c r="B10103">
        <f>VLOOKUP(2070,Requirements!A2:B2967,2,FALSE)</f>
        <v/>
      </c>
    </row>
    <row r="10104">
      <c r="A10104" t="inlineStr">
        <is>
          <t xml:space="preserve">rain </t>
        </is>
      </c>
      <c r="B10104">
        <f>VLOOKUP(2883,Requirements!A2:B2967,2,FALSE)</f>
        <v/>
      </c>
    </row>
    <row r="10105">
      <c r="A10105" t="inlineStr">
        <is>
          <t xml:space="preserve">rain </t>
        </is>
      </c>
      <c r="B10105">
        <f>VLOOKUP(3201,Requirements!A2:B2967,2,FALSE)</f>
        <v/>
      </c>
    </row>
    <row r="10106">
      <c r="A10106" t="inlineStr">
        <is>
          <t xml:space="preserve">filter </t>
        </is>
      </c>
      <c r="B10106">
        <f>VLOOKUP(694,Requirements!A2:B2967,2,FALSE)</f>
        <v/>
      </c>
    </row>
    <row r="10107">
      <c r="A10107" t="inlineStr">
        <is>
          <t xml:space="preserve">filter </t>
        </is>
      </c>
      <c r="B10107">
        <f>VLOOKUP(776,Requirements!A2:B2967,2,FALSE)</f>
        <v/>
      </c>
    </row>
    <row r="10108">
      <c r="A10108" t="inlineStr">
        <is>
          <t xml:space="preserve">filter </t>
        </is>
      </c>
      <c r="B10108">
        <f>VLOOKUP(1181,Requirements!A2:B2967,2,FALSE)</f>
        <v/>
      </c>
    </row>
    <row r="10109">
      <c r="A10109" t="inlineStr">
        <is>
          <t xml:space="preserve">filter </t>
        </is>
      </c>
      <c r="B10109">
        <f>VLOOKUP(1986,Requirements!A2:B2967,2,FALSE)</f>
        <v/>
      </c>
    </row>
    <row r="10110">
      <c r="A10110" t="inlineStr">
        <is>
          <t xml:space="preserve">filter </t>
        </is>
      </c>
      <c r="B10110">
        <f>VLOOKUP(2807,Requirements!A2:B2967,2,FALSE)</f>
        <v/>
      </c>
    </row>
    <row r="10111">
      <c r="A10111" t="inlineStr">
        <is>
          <t xml:space="preserve">filter </t>
        </is>
      </c>
      <c r="B10111">
        <f>VLOOKUP(3065,Requirements!A2:B2967,2,FALSE)</f>
        <v/>
      </c>
    </row>
    <row r="10112">
      <c r="A10112" t="inlineStr">
        <is>
          <t xml:space="preserve">present </t>
        </is>
      </c>
      <c r="B10112">
        <f>VLOOKUP(699,Requirements!A2:B2967,2,FALSE)</f>
        <v/>
      </c>
    </row>
    <row r="10113">
      <c r="A10113" t="inlineStr">
        <is>
          <t xml:space="preserve">present </t>
        </is>
      </c>
      <c r="B10113">
        <f>VLOOKUP(779,Requirements!A2:B2967,2,FALSE)</f>
        <v/>
      </c>
    </row>
    <row r="10114">
      <c r="A10114" t="inlineStr">
        <is>
          <t xml:space="preserve">present </t>
        </is>
      </c>
      <c r="B10114">
        <f>VLOOKUP(1554,Requirements!A2:B2967,2,FALSE)</f>
        <v/>
      </c>
    </row>
    <row r="10115">
      <c r="A10115" t="inlineStr">
        <is>
          <t xml:space="preserve">present </t>
        </is>
      </c>
      <c r="B10115">
        <f>VLOOKUP(1562,Requirements!A2:B2967,2,FALSE)</f>
        <v/>
      </c>
    </row>
    <row r="10116">
      <c r="A10116" t="inlineStr">
        <is>
          <t xml:space="preserve">present </t>
        </is>
      </c>
      <c r="B10116">
        <f>VLOOKUP(1598,Requirements!A2:B2967,2,FALSE)</f>
        <v/>
      </c>
    </row>
    <row r="10117">
      <c r="A10117" t="inlineStr">
        <is>
          <t xml:space="preserve">present </t>
        </is>
      </c>
      <c r="B10117">
        <f>VLOOKUP(1864,Requirements!A2:B2967,2,FALSE)</f>
        <v/>
      </c>
    </row>
    <row r="10118">
      <c r="A10118" t="inlineStr">
        <is>
          <t xml:space="preserve">drink </t>
        </is>
      </c>
      <c r="B10118">
        <f>VLOOKUP(732,Requirements!A2:B2967,2,FALSE)</f>
        <v/>
      </c>
    </row>
    <row r="10119">
      <c r="A10119" t="inlineStr">
        <is>
          <t xml:space="preserve">drink </t>
        </is>
      </c>
      <c r="B10119">
        <f>VLOOKUP(1014,Requirements!A2:B2967,2,FALSE)</f>
        <v/>
      </c>
    </row>
    <row r="10120">
      <c r="A10120" t="inlineStr">
        <is>
          <t xml:space="preserve">drink </t>
        </is>
      </c>
      <c r="B10120">
        <f>VLOOKUP(1825,Requirements!A2:B2967,2,FALSE)</f>
        <v/>
      </c>
    </row>
    <row r="10121">
      <c r="A10121" t="inlineStr">
        <is>
          <t xml:space="preserve">drink </t>
        </is>
      </c>
      <c r="B10121">
        <f>VLOOKUP(2329,Requirements!A2:B2967,2,FALSE)</f>
        <v/>
      </c>
    </row>
    <row r="10122">
      <c r="A10122" t="inlineStr">
        <is>
          <t xml:space="preserve">drink </t>
        </is>
      </c>
      <c r="B10122">
        <f>VLOOKUP(2417,Requirements!A2:B2967,2,FALSE)</f>
        <v/>
      </c>
    </row>
    <row r="10123">
      <c r="A10123" t="inlineStr">
        <is>
          <t xml:space="preserve">drink </t>
        </is>
      </c>
      <c r="B10123">
        <f>VLOOKUP(2832,Requirements!A2:B2967,2,FALSE)</f>
        <v/>
      </c>
    </row>
    <row r="10124">
      <c r="A10124" t="inlineStr">
        <is>
          <t xml:space="preserve">drink </t>
        </is>
      </c>
      <c r="B10124">
        <f>VLOOKUP(3054,Requirements!A2:B2967,2,FALSE)</f>
        <v/>
      </c>
    </row>
    <row r="10125">
      <c r="A10125" t="inlineStr">
        <is>
          <t xml:space="preserve">drink </t>
        </is>
      </c>
      <c r="B10125">
        <f>VLOOKUP(3077,Requirements!A2:B2967,2,FALSE)</f>
        <v/>
      </c>
    </row>
    <row r="10126">
      <c r="A10126" t="inlineStr">
        <is>
          <t xml:space="preserve">start </t>
        </is>
      </c>
      <c r="B10126">
        <f>VLOOKUP(733,Requirements!A2:B2967,2,FALSE)</f>
        <v/>
      </c>
    </row>
    <row r="10127">
      <c r="A10127" t="inlineStr">
        <is>
          <t xml:space="preserve">start </t>
        </is>
      </c>
      <c r="B10127">
        <f>VLOOKUP(939,Requirements!A2:B2967,2,FALSE)</f>
        <v/>
      </c>
    </row>
    <row r="10128">
      <c r="A10128" t="inlineStr">
        <is>
          <t xml:space="preserve">start </t>
        </is>
      </c>
      <c r="B10128">
        <f>VLOOKUP(2004,Requirements!A2:B2967,2,FALSE)</f>
        <v/>
      </c>
    </row>
    <row r="10129">
      <c r="A10129" t="inlineStr">
        <is>
          <t xml:space="preserve">start </t>
        </is>
      </c>
      <c r="B10129">
        <f>VLOOKUP(2752,Requirements!A2:B2967,2,FALSE)</f>
        <v/>
      </c>
    </row>
    <row r="10130">
      <c r="A10130" t="inlineStr">
        <is>
          <t xml:space="preserve">start </t>
        </is>
      </c>
      <c r="B10130">
        <f>VLOOKUP(3223,Requirements!A2:B2967,2,FALSE)</f>
        <v/>
      </c>
    </row>
    <row r="10131">
      <c r="A10131" t="inlineStr">
        <is>
          <t xml:space="preserve">appropriate </t>
        </is>
      </c>
      <c r="B10131">
        <f>VLOOKUP(734,Requirements!A2:B2967,2,FALSE)</f>
        <v/>
      </c>
    </row>
    <row r="10132">
      <c r="A10132" t="inlineStr">
        <is>
          <t xml:space="preserve">appropriate </t>
        </is>
      </c>
      <c r="B10132">
        <f>VLOOKUP(736,Requirements!A2:B2967,2,FALSE)</f>
        <v/>
      </c>
    </row>
    <row r="10133">
      <c r="A10133" t="inlineStr">
        <is>
          <t xml:space="preserve">appropriate </t>
        </is>
      </c>
      <c r="B10133">
        <f>VLOOKUP(1202,Requirements!A2:B2967,2,FALSE)</f>
        <v/>
      </c>
    </row>
    <row r="10134">
      <c r="A10134" t="inlineStr">
        <is>
          <t xml:space="preserve">appropriate </t>
        </is>
      </c>
      <c r="B10134">
        <f>VLOOKUP(1842,Requirements!A2:B2967,2,FALSE)</f>
        <v/>
      </c>
    </row>
    <row r="10135">
      <c r="A10135" t="inlineStr">
        <is>
          <t xml:space="preserve">appropriate </t>
        </is>
      </c>
      <c r="B10135">
        <f>VLOOKUP(2281,Requirements!A2:B2967,2,FALSE)</f>
        <v/>
      </c>
    </row>
    <row r="10136">
      <c r="A10136" t="inlineStr">
        <is>
          <t xml:space="preserve">appropriate </t>
        </is>
      </c>
      <c r="B10136">
        <f>VLOOKUP(2343,Requirements!A2:B2967,2,FALSE)</f>
        <v/>
      </c>
    </row>
    <row r="10137">
      <c r="A10137" t="inlineStr">
        <is>
          <t xml:space="preserve">appropriate </t>
        </is>
      </c>
      <c r="B10137">
        <f>VLOOKUP(2421,Requirements!A2:B2967,2,FALSE)</f>
        <v/>
      </c>
    </row>
    <row r="10138">
      <c r="A10138" t="inlineStr">
        <is>
          <t xml:space="preserve">appropriate </t>
        </is>
      </c>
      <c r="B10138">
        <f>VLOOKUP(2948,Requirements!A2:B2967,2,FALSE)</f>
        <v/>
      </c>
    </row>
    <row r="10139">
      <c r="A10139" t="inlineStr">
        <is>
          <t xml:space="preserve">appropriate </t>
        </is>
      </c>
      <c r="B10139">
        <f>VLOOKUP(3202,Requirements!A2:B2967,2,FALSE)</f>
        <v/>
      </c>
    </row>
    <row r="10140">
      <c r="A10140" t="inlineStr">
        <is>
          <t xml:space="preserve">appropriate </t>
        </is>
      </c>
      <c r="B10140">
        <f>VLOOKUP(3223,Requirements!A2:B2967,2,FALSE)</f>
        <v/>
      </c>
    </row>
    <row r="10141">
      <c r="A10141" t="inlineStr">
        <is>
          <t xml:space="preserve">appropriate </t>
        </is>
      </c>
      <c r="B10141">
        <f>VLOOKUP(3237,Requirements!A2:B2967,2,FALSE)</f>
        <v/>
      </c>
    </row>
    <row r="10142">
      <c r="A10142" t="inlineStr">
        <is>
          <t xml:space="preserve">ground </t>
        </is>
      </c>
      <c r="B10142">
        <f>VLOOKUP(737,Requirements!A2:B2967,2,FALSE)</f>
        <v/>
      </c>
    </row>
    <row r="10143">
      <c r="A10143" t="inlineStr">
        <is>
          <t xml:space="preserve">ground </t>
        </is>
      </c>
      <c r="B10143">
        <f>VLOOKUP(1139,Requirements!A2:B2967,2,FALSE)</f>
        <v/>
      </c>
    </row>
    <row r="10144">
      <c r="A10144" t="inlineStr">
        <is>
          <t xml:space="preserve">ground </t>
        </is>
      </c>
      <c r="B10144">
        <f>VLOOKUP(1848,Requirements!A2:B2967,2,FALSE)</f>
        <v/>
      </c>
    </row>
    <row r="10145">
      <c r="A10145" t="inlineStr">
        <is>
          <t xml:space="preserve">ground </t>
        </is>
      </c>
      <c r="B10145">
        <f>VLOOKUP(2512,Requirements!A2:B2967,2,FALSE)</f>
        <v/>
      </c>
    </row>
    <row r="10146">
      <c r="A10146" t="inlineStr">
        <is>
          <t xml:space="preserve">ground </t>
        </is>
      </c>
      <c r="B10146">
        <f>VLOOKUP(2673,Requirements!A2:B2967,2,FALSE)</f>
        <v/>
      </c>
    </row>
    <row r="10147">
      <c r="A10147" t="inlineStr">
        <is>
          <t xml:space="preserve">ground </t>
        </is>
      </c>
      <c r="B10147">
        <f>VLOOKUP(2869,Requirements!A2:B2967,2,FALSE)</f>
        <v/>
      </c>
    </row>
    <row r="10148">
      <c r="A10148" t="inlineStr">
        <is>
          <t xml:space="preserve">cost </t>
        </is>
      </c>
      <c r="B10148">
        <f>VLOOKUP(756,Requirements!A2:B2967,2,FALSE)</f>
        <v/>
      </c>
    </row>
    <row r="10149">
      <c r="A10149" t="inlineStr">
        <is>
          <t xml:space="preserve">cost </t>
        </is>
      </c>
      <c r="B10149">
        <f>VLOOKUP(765,Requirements!A2:B2967,2,FALSE)</f>
        <v/>
      </c>
    </row>
    <row r="10150">
      <c r="A10150" t="inlineStr">
        <is>
          <t xml:space="preserve">cost </t>
        </is>
      </c>
      <c r="B10150">
        <f>VLOOKUP(1921,Requirements!A2:B2967,2,FALSE)</f>
        <v/>
      </c>
    </row>
    <row r="10151">
      <c r="A10151" t="inlineStr">
        <is>
          <t xml:space="preserve">cost </t>
        </is>
      </c>
      <c r="B10151">
        <f>VLOOKUP(2324,Requirements!A2:B2967,2,FALSE)</f>
        <v/>
      </c>
    </row>
    <row r="10152">
      <c r="A10152" t="inlineStr">
        <is>
          <t xml:space="preserve">cost </t>
        </is>
      </c>
      <c r="B10152">
        <f>VLOOKUP(2507,Requirements!A2:B2967,2,FALSE)</f>
        <v/>
      </c>
    </row>
    <row r="10153">
      <c r="A10153" t="inlineStr">
        <is>
          <t xml:space="preserve">cost </t>
        </is>
      </c>
      <c r="B10153">
        <f>VLOOKUP(2833,Requirements!A2:B2967,2,FALSE)</f>
        <v/>
      </c>
    </row>
    <row r="10154">
      <c r="A10154" t="inlineStr">
        <is>
          <t xml:space="preserve">water level </t>
        </is>
      </c>
      <c r="B10154">
        <f>VLOOKUP(760,Requirements!A2:B2967,2,FALSE)</f>
        <v/>
      </c>
    </row>
    <row r="10155">
      <c r="A10155" t="inlineStr">
        <is>
          <t xml:space="preserve">water level </t>
        </is>
      </c>
      <c r="B10155">
        <f>VLOOKUP(1184,Requirements!A2:B2967,2,FALSE)</f>
        <v/>
      </c>
    </row>
    <row r="10156">
      <c r="A10156" t="inlineStr">
        <is>
          <t xml:space="preserve">water level </t>
        </is>
      </c>
      <c r="B10156">
        <f>VLOOKUP(1280,Requirements!A2:B2967,2,FALSE)</f>
        <v/>
      </c>
    </row>
    <row r="10157">
      <c r="A10157" t="inlineStr">
        <is>
          <t xml:space="preserve">water level </t>
        </is>
      </c>
      <c r="B10157">
        <f>VLOOKUP(1510,Requirements!A2:B2967,2,FALSE)</f>
        <v/>
      </c>
    </row>
    <row r="10158">
      <c r="A10158" t="inlineStr">
        <is>
          <t xml:space="preserve">water level </t>
        </is>
      </c>
      <c r="B10158">
        <f>VLOOKUP(2392,Requirements!A2:B2967,2,FALSE)</f>
        <v/>
      </c>
    </row>
    <row r="10159">
      <c r="A10159" t="inlineStr">
        <is>
          <t xml:space="preserve">water level </t>
        </is>
      </c>
      <c r="B10159">
        <f>VLOOKUP(2585,Requirements!A2:B2967,2,FALSE)</f>
        <v/>
      </c>
    </row>
    <row r="10160">
      <c r="A10160" t="inlineStr">
        <is>
          <t xml:space="preserve">water level </t>
        </is>
      </c>
      <c r="B10160">
        <f>VLOOKUP(2780,Requirements!A2:B2967,2,FALSE)</f>
        <v/>
      </c>
    </row>
    <row r="10161">
      <c r="A10161" t="inlineStr">
        <is>
          <t xml:space="preserve">water level </t>
        </is>
      </c>
      <c r="B10161">
        <f>VLOOKUP(2799,Requirements!A2:B2967,2,FALSE)</f>
        <v/>
      </c>
    </row>
    <row r="10162">
      <c r="A10162" t="inlineStr">
        <is>
          <t xml:space="preserve">everything </t>
        </is>
      </c>
      <c r="B10162">
        <f>VLOOKUP(777,Requirements!A2:B2967,2,FALSE)</f>
        <v/>
      </c>
    </row>
    <row r="10163">
      <c r="A10163" t="inlineStr">
        <is>
          <t xml:space="preserve">everything </t>
        </is>
      </c>
      <c r="B10163">
        <f>VLOOKUP(782,Requirements!A2:B2967,2,FALSE)</f>
        <v/>
      </c>
    </row>
    <row r="10164">
      <c r="A10164" t="inlineStr">
        <is>
          <t xml:space="preserve">everything </t>
        </is>
      </c>
      <c r="B10164">
        <f>VLOOKUP(1141,Requirements!A2:B2967,2,FALSE)</f>
        <v/>
      </c>
    </row>
    <row r="10165">
      <c r="A10165" t="inlineStr">
        <is>
          <t xml:space="preserve">everything </t>
        </is>
      </c>
      <c r="B10165">
        <f>VLOOKUP(1177,Requirements!A2:B2967,2,FALSE)</f>
        <v/>
      </c>
    </row>
    <row r="10166">
      <c r="A10166" t="inlineStr">
        <is>
          <t xml:space="preserve">everything </t>
        </is>
      </c>
      <c r="B10166">
        <f>VLOOKUP(1479,Requirements!A2:B2967,2,FALSE)</f>
        <v/>
      </c>
    </row>
    <row r="10167">
      <c r="A10167" t="inlineStr">
        <is>
          <t xml:space="preserve">everything </t>
        </is>
      </c>
      <c r="B10167">
        <f>VLOOKUP(2516,Requirements!A2:B2967,2,FALSE)</f>
        <v/>
      </c>
    </row>
    <row r="10168">
      <c r="A10168" t="inlineStr">
        <is>
          <t xml:space="preserve">everything </t>
        </is>
      </c>
      <c r="B10168">
        <f>VLOOKUP(2734,Requirements!A2:B2967,2,FALSE)</f>
        <v/>
      </c>
    </row>
    <row r="10169">
      <c r="A10169" t="inlineStr">
        <is>
          <t xml:space="preserve">everything </t>
        </is>
      </c>
      <c r="B10169">
        <f>VLOOKUP(3168,Requirements!A2:B2967,2,FALSE)</f>
        <v/>
      </c>
    </row>
    <row r="10170">
      <c r="A10170" t="inlineStr">
        <is>
          <t xml:space="preserve">vacation </t>
        </is>
      </c>
      <c r="B10170">
        <f>VLOOKUP(777,Requirements!A2:B2967,2,FALSE)</f>
        <v/>
      </c>
    </row>
    <row r="10171">
      <c r="A10171" t="inlineStr">
        <is>
          <t xml:space="preserve">vacation </t>
        </is>
      </c>
      <c r="B10171">
        <f>VLOOKUP(907,Requirements!A2:B2967,2,FALSE)</f>
        <v/>
      </c>
    </row>
    <row r="10172">
      <c r="A10172" t="inlineStr">
        <is>
          <t xml:space="preserve">vacation </t>
        </is>
      </c>
      <c r="B10172">
        <f>VLOOKUP(1465,Requirements!A2:B2967,2,FALSE)</f>
        <v/>
      </c>
    </row>
    <row r="10173">
      <c r="A10173" t="inlineStr">
        <is>
          <t xml:space="preserve">vacation </t>
        </is>
      </c>
      <c r="B10173">
        <f>VLOOKUP(2078,Requirements!A2:B2967,2,FALSE)</f>
        <v/>
      </c>
    </row>
    <row r="10174">
      <c r="A10174" t="inlineStr">
        <is>
          <t xml:space="preserve">vacation </t>
        </is>
      </c>
      <c r="B10174">
        <f>VLOOKUP(2084,Requirements!A2:B2967,2,FALSE)</f>
        <v/>
      </c>
    </row>
    <row r="10175">
      <c r="A10175" t="inlineStr">
        <is>
          <t xml:space="preserve">vacation </t>
        </is>
      </c>
      <c r="B10175">
        <f>VLOOKUP(2434,Requirements!A2:B2967,2,FALSE)</f>
        <v/>
      </c>
    </row>
    <row r="10176">
      <c r="A10176" t="inlineStr">
        <is>
          <t xml:space="preserve">vacation </t>
        </is>
      </c>
      <c r="B10176">
        <f>VLOOKUP(2724,Requirements!A2:B2967,2,FALSE)</f>
        <v/>
      </c>
    </row>
    <row r="10177">
      <c r="A10177" t="inlineStr">
        <is>
          <t xml:space="preserve">vacation </t>
        </is>
      </c>
      <c r="B10177">
        <f>VLOOKUP(2804,Requirements!A2:B2967,2,FALSE)</f>
        <v/>
      </c>
    </row>
    <row r="10178">
      <c r="A10178" t="inlineStr">
        <is>
          <t xml:space="preserve">pool </t>
        </is>
      </c>
      <c r="B10178">
        <f>VLOOKUP(783,Requirements!A2:B2967,2,FALSE)</f>
        <v/>
      </c>
    </row>
    <row r="10179">
      <c r="A10179" t="inlineStr">
        <is>
          <t xml:space="preserve">pool </t>
        </is>
      </c>
      <c r="B10179">
        <f>VLOOKUP(789,Requirements!A2:B2967,2,FALSE)</f>
        <v/>
      </c>
    </row>
    <row r="10180">
      <c r="A10180" t="inlineStr">
        <is>
          <t xml:space="preserve">pool </t>
        </is>
      </c>
      <c r="B10180">
        <f>VLOOKUP(828,Requirements!A2:B2967,2,FALSE)</f>
        <v/>
      </c>
    </row>
    <row r="10181">
      <c r="A10181" t="inlineStr">
        <is>
          <t xml:space="preserve">pool </t>
        </is>
      </c>
      <c r="B10181">
        <f>VLOOKUP(1220,Requirements!A2:B2967,2,FALSE)</f>
        <v/>
      </c>
    </row>
    <row r="10182">
      <c r="A10182" t="inlineStr">
        <is>
          <t xml:space="preserve">pool </t>
        </is>
      </c>
      <c r="B10182">
        <f>VLOOKUP(1361,Requirements!A2:B2967,2,FALSE)</f>
        <v/>
      </c>
    </row>
    <row r="10183">
      <c r="A10183" t="inlineStr">
        <is>
          <t xml:space="preserve">pool </t>
        </is>
      </c>
      <c r="B10183">
        <f>VLOOKUP(1377,Requirements!A2:B2967,2,FALSE)</f>
        <v/>
      </c>
    </row>
    <row r="10184">
      <c r="A10184" t="inlineStr">
        <is>
          <t xml:space="preserve">pool </t>
        </is>
      </c>
      <c r="B10184">
        <f>VLOOKUP(1890,Requirements!A2:B2967,2,FALSE)</f>
        <v/>
      </c>
    </row>
    <row r="10185">
      <c r="A10185" t="inlineStr">
        <is>
          <t xml:space="preserve">pool </t>
        </is>
      </c>
      <c r="B10185">
        <f>VLOOKUP(1954,Requirements!A2:B2967,2,FALSE)</f>
        <v/>
      </c>
    </row>
    <row r="10186">
      <c r="A10186" t="inlineStr">
        <is>
          <t xml:space="preserve">pool </t>
        </is>
      </c>
      <c r="B10186">
        <f>VLOOKUP(2211,Requirements!A2:B2967,2,FALSE)</f>
        <v/>
      </c>
    </row>
    <row r="10187">
      <c r="A10187" t="inlineStr">
        <is>
          <t xml:space="preserve">pool </t>
        </is>
      </c>
      <c r="B10187">
        <f>VLOOKUP(2513,Requirements!A2:B2967,2,FALSE)</f>
        <v/>
      </c>
    </row>
    <row r="10188">
      <c r="A10188" t="inlineStr">
        <is>
          <t xml:space="preserve">pool </t>
        </is>
      </c>
      <c r="B10188">
        <f>VLOOKUP(2583,Requirements!A2:B2967,2,FALSE)</f>
        <v/>
      </c>
    </row>
    <row r="10189">
      <c r="A10189" t="inlineStr">
        <is>
          <t xml:space="preserve">pool </t>
        </is>
      </c>
      <c r="B10189">
        <f>VLOOKUP(2611,Requirements!A2:B2967,2,FALSE)</f>
        <v/>
      </c>
    </row>
    <row r="10190">
      <c r="A10190" t="inlineStr">
        <is>
          <t xml:space="preserve">pool </t>
        </is>
      </c>
      <c r="B10190">
        <f>VLOOKUP(2688,Requirements!A2:B2967,2,FALSE)</f>
        <v/>
      </c>
    </row>
    <row r="10191">
      <c r="A10191" t="inlineStr">
        <is>
          <t xml:space="preserve">pool </t>
        </is>
      </c>
      <c r="B10191">
        <f>VLOOKUP(2873,Requirements!A2:B2967,2,FALSE)</f>
        <v/>
      </c>
    </row>
    <row r="10192">
      <c r="A10192" t="inlineStr">
        <is>
          <t xml:space="preserve">warning </t>
        </is>
      </c>
      <c r="B10192">
        <f>VLOOKUP(786,Requirements!A2:B2967,2,FALSE)</f>
        <v/>
      </c>
    </row>
    <row r="10193">
      <c r="A10193" t="inlineStr">
        <is>
          <t xml:space="preserve">warning </t>
        </is>
      </c>
      <c r="B10193">
        <f>VLOOKUP(1113,Requirements!A2:B2967,2,FALSE)</f>
        <v/>
      </c>
    </row>
    <row r="10194">
      <c r="A10194" t="inlineStr">
        <is>
          <t xml:space="preserve">warning </t>
        </is>
      </c>
      <c r="B10194">
        <f>VLOOKUP(2031,Requirements!A2:B2967,2,FALSE)</f>
        <v/>
      </c>
    </row>
    <row r="10195">
      <c r="A10195" t="inlineStr">
        <is>
          <t xml:space="preserve">warning </t>
        </is>
      </c>
      <c r="B10195">
        <f>VLOOKUP(2658,Requirements!A2:B2967,2,FALSE)</f>
        <v/>
      </c>
    </row>
    <row r="10196">
      <c r="A10196" t="inlineStr">
        <is>
          <t xml:space="preserve">warning </t>
        </is>
      </c>
      <c r="B10196">
        <f>VLOOKUP(2985,Requirements!A2:B2967,2,FALSE)</f>
        <v/>
      </c>
    </row>
    <row r="10197">
      <c r="A10197" t="inlineStr">
        <is>
          <t xml:space="preserve">favorite </t>
        </is>
      </c>
      <c r="B10197">
        <f>VLOOKUP(790,Requirements!A2:B2967,2,FALSE)</f>
        <v/>
      </c>
    </row>
    <row r="10198">
      <c r="A10198" t="inlineStr">
        <is>
          <t xml:space="preserve">favorite </t>
        </is>
      </c>
      <c r="B10198">
        <f>VLOOKUP(976,Requirements!A2:B2967,2,FALSE)</f>
        <v/>
      </c>
    </row>
    <row r="10199">
      <c r="A10199" t="inlineStr">
        <is>
          <t xml:space="preserve">favorite </t>
        </is>
      </c>
      <c r="B10199">
        <f>VLOOKUP(1045,Requirements!A2:B2967,2,FALSE)</f>
        <v/>
      </c>
    </row>
    <row r="10200">
      <c r="A10200" t="inlineStr">
        <is>
          <t xml:space="preserve">favorite </t>
        </is>
      </c>
      <c r="B10200">
        <f>VLOOKUP(1105,Requirements!A2:B2967,2,FALSE)</f>
        <v/>
      </c>
    </row>
    <row r="10201">
      <c r="A10201" t="inlineStr">
        <is>
          <t xml:space="preserve">favorite </t>
        </is>
      </c>
      <c r="B10201">
        <f>VLOOKUP(1659,Requirements!A2:B2967,2,FALSE)</f>
        <v/>
      </c>
    </row>
    <row r="10202">
      <c r="A10202" t="inlineStr">
        <is>
          <t xml:space="preserve">favorite </t>
        </is>
      </c>
      <c r="B10202">
        <f>VLOOKUP(1669,Requirements!A2:B2967,2,FALSE)</f>
        <v/>
      </c>
    </row>
    <row r="10203">
      <c r="A10203" t="inlineStr">
        <is>
          <t xml:space="preserve">favorite </t>
        </is>
      </c>
      <c r="B10203">
        <f>VLOOKUP(2716,Requirements!A2:B2967,2,FALSE)</f>
        <v/>
      </c>
    </row>
    <row r="10204">
      <c r="A10204" t="inlineStr">
        <is>
          <t xml:space="preserve">favorite </t>
        </is>
      </c>
      <c r="B10204">
        <f>VLOOKUP(2751,Requirements!A2:B2967,2,FALSE)</f>
        <v/>
      </c>
    </row>
    <row r="10205">
      <c r="A10205" t="inlineStr">
        <is>
          <t xml:space="preserve">necessary </t>
        </is>
      </c>
      <c r="B10205">
        <f>VLOOKUP(792,Requirements!A2:B2967,2,FALSE)</f>
        <v/>
      </c>
    </row>
    <row r="10206">
      <c r="A10206" t="inlineStr">
        <is>
          <t xml:space="preserve">necessary </t>
        </is>
      </c>
      <c r="B10206">
        <f>VLOOKUP(904,Requirements!A2:B2967,2,FALSE)</f>
        <v/>
      </c>
    </row>
    <row r="10207">
      <c r="A10207" t="inlineStr">
        <is>
          <t xml:space="preserve">necessary </t>
        </is>
      </c>
      <c r="B10207">
        <f>VLOOKUP(992,Requirements!A2:B2967,2,FALSE)</f>
        <v/>
      </c>
    </row>
    <row r="10208">
      <c r="A10208" t="inlineStr">
        <is>
          <t xml:space="preserve">necessary </t>
        </is>
      </c>
      <c r="B10208">
        <f>VLOOKUP(1089,Requirements!A2:B2967,2,FALSE)</f>
        <v/>
      </c>
    </row>
    <row r="10209">
      <c r="A10209" t="inlineStr">
        <is>
          <t xml:space="preserve">necessary </t>
        </is>
      </c>
      <c r="B10209">
        <f>VLOOKUP(1260,Requirements!A2:B2967,2,FALSE)</f>
        <v/>
      </c>
    </row>
    <row r="10210">
      <c r="A10210" t="inlineStr">
        <is>
          <t xml:space="preserve">necessary </t>
        </is>
      </c>
      <c r="B10210">
        <f>VLOOKUP(1521,Requirements!A2:B2967,2,FALSE)</f>
        <v/>
      </c>
    </row>
    <row r="10211">
      <c r="A10211" t="inlineStr">
        <is>
          <t xml:space="preserve">necessary </t>
        </is>
      </c>
      <c r="B10211">
        <f>VLOOKUP(2446,Requirements!A2:B2967,2,FALSE)</f>
        <v/>
      </c>
    </row>
    <row r="10212">
      <c r="A10212" t="inlineStr">
        <is>
          <t xml:space="preserve">necessary </t>
        </is>
      </c>
      <c r="B10212">
        <f>VLOOKUP(2470,Requirements!A2:B2967,2,FALSE)</f>
        <v/>
      </c>
    </row>
    <row r="10213">
      <c r="A10213" t="inlineStr">
        <is>
          <t xml:space="preserve">necessary </t>
        </is>
      </c>
      <c r="B10213">
        <f>VLOOKUP(2512,Requirements!A2:B2967,2,FALSE)</f>
        <v/>
      </c>
    </row>
    <row r="10214">
      <c r="A10214" t="inlineStr">
        <is>
          <t xml:space="preserve">necessary </t>
        </is>
      </c>
      <c r="B10214">
        <f>VLOOKUP(2789,Requirements!A2:B2967,2,FALSE)</f>
        <v/>
      </c>
    </row>
    <row r="10215">
      <c r="A10215" t="inlineStr">
        <is>
          <t xml:space="preserve">necessary </t>
        </is>
      </c>
      <c r="B10215">
        <f>VLOOKUP(2826,Requirements!A2:B2967,2,FALSE)</f>
        <v/>
      </c>
    </row>
    <row r="10216">
      <c r="A10216" t="inlineStr">
        <is>
          <t xml:space="preserve">necessary </t>
        </is>
      </c>
      <c r="B10216">
        <f>VLOOKUP(3252,Requirements!A2:B2967,2,FALSE)</f>
        <v/>
      </c>
    </row>
    <row r="10217">
      <c r="A10217" t="inlineStr">
        <is>
          <t xml:space="preserve">head </t>
        </is>
      </c>
      <c r="B10217">
        <f>VLOOKUP(792,Requirements!A2:B2967,2,FALSE)</f>
        <v/>
      </c>
    </row>
    <row r="10218">
      <c r="A10218" t="inlineStr">
        <is>
          <t xml:space="preserve">head </t>
        </is>
      </c>
      <c r="B10218">
        <f>VLOOKUP(1048,Requirements!A2:B2967,2,FALSE)</f>
        <v/>
      </c>
    </row>
    <row r="10219">
      <c r="A10219" t="inlineStr">
        <is>
          <t xml:space="preserve">head </t>
        </is>
      </c>
      <c r="B10219">
        <f>VLOOKUP(1637,Requirements!A2:B2967,2,FALSE)</f>
        <v/>
      </c>
    </row>
    <row r="10220">
      <c r="A10220" t="inlineStr">
        <is>
          <t xml:space="preserve">head </t>
        </is>
      </c>
      <c r="B10220">
        <f>VLOOKUP(1639,Requirements!A2:B2967,2,FALSE)</f>
        <v/>
      </c>
    </row>
    <row r="10221">
      <c r="A10221" t="inlineStr">
        <is>
          <t xml:space="preserve">head </t>
        </is>
      </c>
      <c r="B10221">
        <f>VLOOKUP(1650,Requirements!A2:B2967,2,FALSE)</f>
        <v/>
      </c>
    </row>
    <row r="10222">
      <c r="A10222" t="inlineStr">
        <is>
          <t xml:space="preserve">head </t>
        </is>
      </c>
      <c r="B10222">
        <f>VLOOKUP(2330,Requirements!A2:B2967,2,FALSE)</f>
        <v/>
      </c>
    </row>
    <row r="10223">
      <c r="A10223" t="inlineStr">
        <is>
          <t xml:space="preserve">head </t>
        </is>
      </c>
      <c r="B10223">
        <f>VLOOKUP(2353,Requirements!A2:B2967,2,FALSE)</f>
        <v/>
      </c>
    </row>
    <row r="10224">
      <c r="A10224" t="inlineStr">
        <is>
          <t xml:space="preserve">fresh </t>
        </is>
      </c>
      <c r="B10224">
        <f>VLOOKUP(792,Requirements!A2:B2967,2,FALSE)</f>
        <v/>
      </c>
    </row>
    <row r="10225">
      <c r="A10225" t="inlineStr">
        <is>
          <t xml:space="preserve">fresh </t>
        </is>
      </c>
      <c r="B10225">
        <f>VLOOKUP(906,Requirements!A2:B2967,2,FALSE)</f>
        <v/>
      </c>
    </row>
    <row r="10226">
      <c r="A10226" t="inlineStr">
        <is>
          <t xml:space="preserve">fresh </t>
        </is>
      </c>
      <c r="B10226">
        <f>VLOOKUP(1591,Requirements!A2:B2967,2,FALSE)</f>
        <v/>
      </c>
    </row>
    <row r="10227">
      <c r="A10227" t="inlineStr">
        <is>
          <t xml:space="preserve">fresh </t>
        </is>
      </c>
      <c r="B10227">
        <f>VLOOKUP(1973,Requirements!A2:B2967,2,FALSE)</f>
        <v/>
      </c>
    </row>
    <row r="10228">
      <c r="A10228" t="inlineStr">
        <is>
          <t xml:space="preserve">fresh </t>
        </is>
      </c>
      <c r="B10228">
        <f>VLOOKUP(2727,Requirements!A2:B2967,2,FALSE)</f>
        <v/>
      </c>
    </row>
    <row r="10229">
      <c r="A10229" t="inlineStr">
        <is>
          <t xml:space="preserve">fresh </t>
        </is>
      </c>
      <c r="B10229">
        <f>VLOOKUP(3150,Requirements!A2:B2967,2,FALSE)</f>
        <v/>
      </c>
    </row>
    <row r="10230">
      <c r="A10230" t="inlineStr">
        <is>
          <t xml:space="preserve">fresh </t>
        </is>
      </c>
      <c r="B10230">
        <f>VLOOKUP(3211,Requirements!A2:B2967,2,FALSE)</f>
        <v/>
      </c>
    </row>
    <row r="10231">
      <c r="A10231" t="inlineStr">
        <is>
          <t xml:space="preserve">screen </t>
        </is>
      </c>
      <c r="B10231">
        <f>VLOOKUP(817,Requirements!A2:B2967,2,FALSE)</f>
        <v/>
      </c>
    </row>
    <row r="10232">
      <c r="A10232" t="inlineStr">
        <is>
          <t xml:space="preserve">screen </t>
        </is>
      </c>
      <c r="B10232">
        <f>VLOOKUP(824,Requirements!A2:B2967,2,FALSE)</f>
        <v/>
      </c>
    </row>
    <row r="10233">
      <c r="A10233" t="inlineStr">
        <is>
          <t xml:space="preserve">screen </t>
        </is>
      </c>
      <c r="B10233">
        <f>VLOOKUP(1039,Requirements!A2:B2967,2,FALSE)</f>
        <v/>
      </c>
    </row>
    <row r="10234">
      <c r="A10234" t="inlineStr">
        <is>
          <t xml:space="preserve">screen </t>
        </is>
      </c>
      <c r="B10234">
        <f>VLOOKUP(1053,Requirements!A2:B2967,2,FALSE)</f>
        <v/>
      </c>
    </row>
    <row r="10235">
      <c r="A10235" t="inlineStr">
        <is>
          <t xml:space="preserve">screen </t>
        </is>
      </c>
      <c r="B10235">
        <f>VLOOKUP(1223,Requirements!A2:B2967,2,FALSE)</f>
        <v/>
      </c>
    </row>
    <row r="10236">
      <c r="A10236" t="inlineStr">
        <is>
          <t xml:space="preserve">screen </t>
        </is>
      </c>
      <c r="B10236">
        <f>VLOOKUP(1557,Requirements!A2:B2967,2,FALSE)</f>
        <v/>
      </c>
    </row>
    <row r="10237">
      <c r="A10237" t="inlineStr">
        <is>
          <t xml:space="preserve">screen </t>
        </is>
      </c>
      <c r="B10237">
        <f>VLOOKUP(1710,Requirements!A2:B2967,2,FALSE)</f>
        <v/>
      </c>
    </row>
    <row r="10238">
      <c r="A10238" t="inlineStr">
        <is>
          <t xml:space="preserve">screen </t>
        </is>
      </c>
      <c r="B10238">
        <f>VLOOKUP(1899,Requirements!A2:B2967,2,FALSE)</f>
        <v/>
      </c>
    </row>
    <row r="10239">
      <c r="A10239" t="inlineStr">
        <is>
          <t xml:space="preserve">screen </t>
        </is>
      </c>
      <c r="B10239">
        <f>VLOOKUP(2148,Requirements!A2:B2967,2,FALSE)</f>
        <v/>
      </c>
    </row>
    <row r="10240">
      <c r="A10240" t="inlineStr">
        <is>
          <t xml:space="preserve">screen </t>
        </is>
      </c>
      <c r="B10240">
        <f>VLOOKUP(2260,Requirements!A2:B2967,2,FALSE)</f>
        <v/>
      </c>
    </row>
    <row r="10241">
      <c r="A10241" t="inlineStr">
        <is>
          <t xml:space="preserve">screen </t>
        </is>
      </c>
      <c r="B10241">
        <f>VLOOKUP(2290,Requirements!A2:B2967,2,FALSE)</f>
        <v/>
      </c>
    </row>
    <row r="10242">
      <c r="A10242" t="inlineStr">
        <is>
          <t xml:space="preserve">screen </t>
        </is>
      </c>
      <c r="B10242">
        <f>VLOOKUP(2412,Requirements!A2:B2967,2,FALSE)</f>
        <v/>
      </c>
    </row>
    <row r="10243">
      <c r="A10243" t="inlineStr">
        <is>
          <t xml:space="preserve">screen </t>
        </is>
      </c>
      <c r="B10243">
        <f>VLOOKUP(2637,Requirements!A2:B2967,2,FALSE)</f>
        <v/>
      </c>
    </row>
    <row r="10244">
      <c r="A10244" t="inlineStr">
        <is>
          <t xml:space="preserve">screen </t>
        </is>
      </c>
      <c r="B10244">
        <f>VLOOKUP(2650,Requirements!A2:B2967,2,FALSE)</f>
        <v/>
      </c>
    </row>
    <row r="10245">
      <c r="A10245" t="inlineStr">
        <is>
          <t xml:space="preserve">screen </t>
        </is>
      </c>
      <c r="B10245">
        <f>VLOOKUP(2946,Requirements!A2:B2967,2,FALSE)</f>
        <v/>
      </c>
    </row>
    <row r="10246">
      <c r="A10246" t="inlineStr">
        <is>
          <t xml:space="preserve">screen </t>
        </is>
      </c>
      <c r="B10246">
        <f>VLOOKUP(3131,Requirements!A2:B2967,2,FALSE)</f>
        <v/>
      </c>
    </row>
    <row r="10247">
      <c r="A10247" t="inlineStr">
        <is>
          <t xml:space="preserve">waste energy </t>
        </is>
      </c>
      <c r="B10247">
        <f>VLOOKUP(828,Requirements!A2:B2967,2,FALSE)</f>
        <v/>
      </c>
    </row>
    <row r="10248">
      <c r="A10248" t="inlineStr">
        <is>
          <t xml:space="preserve">waste energy </t>
        </is>
      </c>
      <c r="B10248">
        <f>VLOOKUP(977,Requirements!A2:B2967,2,FALSE)</f>
        <v/>
      </c>
    </row>
    <row r="10249">
      <c r="A10249" t="inlineStr">
        <is>
          <t xml:space="preserve">waste energy </t>
        </is>
      </c>
      <c r="B10249">
        <f>VLOOKUP(1166,Requirements!A2:B2967,2,FALSE)</f>
        <v/>
      </c>
    </row>
    <row r="10250">
      <c r="A10250" t="inlineStr">
        <is>
          <t xml:space="preserve">waste energy </t>
        </is>
      </c>
      <c r="B10250">
        <f>VLOOKUP(1762,Requirements!A2:B2967,2,FALSE)</f>
        <v/>
      </c>
    </row>
    <row r="10251">
      <c r="A10251" t="inlineStr">
        <is>
          <t xml:space="preserve">waste energy </t>
        </is>
      </c>
      <c r="B10251">
        <f>VLOOKUP(1767,Requirements!A2:B2967,2,FALSE)</f>
        <v/>
      </c>
    </row>
    <row r="10252">
      <c r="A10252" t="inlineStr">
        <is>
          <t xml:space="preserve">waste energy </t>
        </is>
      </c>
      <c r="B10252">
        <f>VLOOKUP(1788,Requirements!A2:B2967,2,FALSE)</f>
        <v/>
      </c>
    </row>
    <row r="10253">
      <c r="A10253" t="inlineStr">
        <is>
          <t xml:space="preserve">waste energy </t>
        </is>
      </c>
      <c r="B10253">
        <f>VLOOKUP(1977,Requirements!A2:B2967,2,FALSE)</f>
        <v/>
      </c>
    </row>
    <row r="10254">
      <c r="A10254" t="inlineStr">
        <is>
          <t xml:space="preserve">waste energy </t>
        </is>
      </c>
      <c r="B10254">
        <f>VLOOKUP(2407,Requirements!A2:B2967,2,FALSE)</f>
        <v/>
      </c>
    </row>
    <row r="10255">
      <c r="A10255" t="inlineStr">
        <is>
          <t xml:space="preserve">waste energy </t>
        </is>
      </c>
      <c r="B10255">
        <f>VLOOKUP(2483,Requirements!A2:B2967,2,FALSE)</f>
        <v/>
      </c>
    </row>
    <row r="10256">
      <c r="A10256" t="inlineStr">
        <is>
          <t xml:space="preserve">waste energy </t>
        </is>
      </c>
      <c r="B10256">
        <f>VLOOKUP(3170,Requirements!A2:B2967,2,FALSE)</f>
        <v/>
      </c>
    </row>
    <row r="10257">
      <c r="A10257" t="inlineStr">
        <is>
          <t xml:space="preserve">inventory </t>
        </is>
      </c>
      <c r="B10257">
        <f>VLOOKUP(852,Requirements!A2:B2967,2,FALSE)</f>
        <v/>
      </c>
    </row>
    <row r="10258">
      <c r="A10258" t="inlineStr">
        <is>
          <t xml:space="preserve">inventory </t>
        </is>
      </c>
      <c r="B10258">
        <f>VLOOKUP(898,Requirements!A2:B2967,2,FALSE)</f>
        <v/>
      </c>
    </row>
    <row r="10259">
      <c r="A10259" t="inlineStr">
        <is>
          <t xml:space="preserve">inventory </t>
        </is>
      </c>
      <c r="B10259">
        <f>VLOOKUP(1284,Requirements!A2:B2967,2,FALSE)</f>
        <v/>
      </c>
    </row>
    <row r="10260">
      <c r="A10260" t="inlineStr">
        <is>
          <t xml:space="preserve">inventory </t>
        </is>
      </c>
      <c r="B10260">
        <f>VLOOKUP(1289,Requirements!A2:B2967,2,FALSE)</f>
        <v/>
      </c>
    </row>
    <row r="10261">
      <c r="A10261" t="inlineStr">
        <is>
          <t xml:space="preserve">inventory </t>
        </is>
      </c>
      <c r="B10261">
        <f>VLOOKUP(1397,Requirements!A2:B2967,2,FALSE)</f>
        <v/>
      </c>
    </row>
    <row r="10262">
      <c r="A10262" t="inlineStr">
        <is>
          <t xml:space="preserve">inventory </t>
        </is>
      </c>
      <c r="B10262">
        <f>VLOOKUP(2483,Requirements!A2:B2967,2,FALSE)</f>
        <v/>
      </c>
    </row>
    <row r="10263">
      <c r="A10263" t="inlineStr">
        <is>
          <t xml:space="preserve">waste water </t>
        </is>
      </c>
      <c r="B10263">
        <f>VLOOKUP(853,Requirements!A2:B2967,2,FALSE)</f>
        <v/>
      </c>
    </row>
    <row r="10264">
      <c r="A10264" t="inlineStr">
        <is>
          <t xml:space="preserve">waste water </t>
        </is>
      </c>
      <c r="B10264">
        <f>VLOOKUP(1180,Requirements!A2:B2967,2,FALSE)</f>
        <v/>
      </c>
    </row>
    <row r="10265">
      <c r="A10265" t="inlineStr">
        <is>
          <t xml:space="preserve">waste water </t>
        </is>
      </c>
      <c r="B10265">
        <f>VLOOKUP(1457,Requirements!A2:B2967,2,FALSE)</f>
        <v/>
      </c>
    </row>
    <row r="10266">
      <c r="A10266" t="inlineStr">
        <is>
          <t xml:space="preserve">waste water </t>
        </is>
      </c>
      <c r="B10266">
        <f>VLOOKUP(1630,Requirements!A2:B2967,2,FALSE)</f>
        <v/>
      </c>
    </row>
    <row r="10267">
      <c r="A10267" t="inlineStr">
        <is>
          <t xml:space="preserve">waste water </t>
        </is>
      </c>
      <c r="B10267">
        <f>VLOOKUP(2470,Requirements!A2:B2967,2,FALSE)</f>
        <v/>
      </c>
    </row>
    <row r="10268">
      <c r="A10268" t="inlineStr">
        <is>
          <t xml:space="preserve">waste water </t>
        </is>
      </c>
      <c r="B10268">
        <f>VLOOKUP(2526,Requirements!A2:B2967,2,FALSE)</f>
        <v/>
      </c>
    </row>
    <row r="10269">
      <c r="A10269" t="inlineStr">
        <is>
          <t xml:space="preserve">neighbor </t>
        </is>
      </c>
      <c r="B10269">
        <f>VLOOKUP(904,Requirements!A2:B2967,2,FALSE)</f>
        <v/>
      </c>
    </row>
    <row r="10270">
      <c r="A10270" t="inlineStr">
        <is>
          <t xml:space="preserve">neighbor </t>
        </is>
      </c>
      <c r="B10270">
        <f>VLOOKUP(960,Requirements!A2:B2967,2,FALSE)</f>
        <v/>
      </c>
    </row>
    <row r="10271">
      <c r="A10271" t="inlineStr">
        <is>
          <t xml:space="preserve">neighbor </t>
        </is>
      </c>
      <c r="B10271">
        <f>VLOOKUP(1063,Requirements!A2:B2967,2,FALSE)</f>
        <v/>
      </c>
    </row>
    <row r="10272">
      <c r="A10272" t="inlineStr">
        <is>
          <t xml:space="preserve">neighbor </t>
        </is>
      </c>
      <c r="B10272">
        <f>VLOOKUP(2159,Requirements!A2:B2967,2,FALSE)</f>
        <v/>
      </c>
    </row>
    <row r="10273">
      <c r="A10273" t="inlineStr">
        <is>
          <t xml:space="preserve">neighbor </t>
        </is>
      </c>
      <c r="B10273">
        <f>VLOOKUP(2445,Requirements!A2:B2967,2,FALSE)</f>
        <v/>
      </c>
    </row>
    <row r="10274">
      <c r="A10274" t="inlineStr">
        <is>
          <t xml:space="preserve">water bill </t>
        </is>
      </c>
      <c r="B10274">
        <f>VLOOKUP(918,Requirements!A2:B2967,2,FALSE)</f>
        <v/>
      </c>
    </row>
    <row r="10275">
      <c r="A10275" t="inlineStr">
        <is>
          <t xml:space="preserve">water bill </t>
        </is>
      </c>
      <c r="B10275">
        <f>VLOOKUP(2040,Requirements!A2:B2967,2,FALSE)</f>
        <v/>
      </c>
    </row>
    <row r="10276">
      <c r="A10276" t="inlineStr">
        <is>
          <t xml:space="preserve">water bill </t>
        </is>
      </c>
      <c r="B10276">
        <f>VLOOKUP(2076,Requirements!A2:B2967,2,FALSE)</f>
        <v/>
      </c>
    </row>
    <row r="10277">
      <c r="A10277" t="inlineStr">
        <is>
          <t xml:space="preserve">water bill </t>
        </is>
      </c>
      <c r="B10277">
        <f>VLOOKUP(2459,Requirements!A2:B2967,2,FALSE)</f>
        <v/>
      </c>
    </row>
    <row r="10278">
      <c r="A10278" t="inlineStr">
        <is>
          <t xml:space="preserve">water bill </t>
        </is>
      </c>
      <c r="B10278">
        <f>VLOOKUP(2607,Requirements!A2:B2967,2,FALSE)</f>
        <v/>
      </c>
    </row>
    <row r="10279">
      <c r="A10279" t="inlineStr">
        <is>
          <t xml:space="preserve">sort </t>
        </is>
      </c>
      <c r="B10279">
        <f>VLOOKUP(964,Requirements!A2:B2967,2,FALSE)</f>
        <v/>
      </c>
    </row>
    <row r="10280">
      <c r="A10280" t="inlineStr">
        <is>
          <t xml:space="preserve">sort </t>
        </is>
      </c>
      <c r="B10280">
        <f>VLOOKUP(1038,Requirements!A2:B2967,2,FALSE)</f>
        <v/>
      </c>
    </row>
    <row r="10281">
      <c r="A10281" t="inlineStr">
        <is>
          <t xml:space="preserve">sort </t>
        </is>
      </c>
      <c r="B10281">
        <f>VLOOKUP(1202,Requirements!A2:B2967,2,FALSE)</f>
        <v/>
      </c>
    </row>
    <row r="10282">
      <c r="A10282" t="inlineStr">
        <is>
          <t xml:space="preserve">sort </t>
        </is>
      </c>
      <c r="B10282">
        <f>VLOOKUP(2456,Requirements!A2:B2967,2,FALSE)</f>
        <v/>
      </c>
    </row>
    <row r="10283">
      <c r="A10283" t="inlineStr">
        <is>
          <t xml:space="preserve">sort </t>
        </is>
      </c>
      <c r="B10283">
        <f>VLOOKUP(2684,Requirements!A2:B2967,2,FALSE)</f>
        <v/>
      </c>
    </row>
    <row r="10284">
      <c r="A10284" t="inlineStr">
        <is>
          <t xml:space="preserve">friend </t>
        </is>
      </c>
      <c r="B10284">
        <f>VLOOKUP(979,Requirements!A2:B2967,2,FALSE)</f>
        <v/>
      </c>
    </row>
    <row r="10285">
      <c r="A10285" t="inlineStr">
        <is>
          <t xml:space="preserve">friend </t>
        </is>
      </c>
      <c r="B10285">
        <f>VLOOKUP(1195,Requirements!A2:B2967,2,FALSE)</f>
        <v/>
      </c>
    </row>
    <row r="10286">
      <c r="A10286" t="inlineStr">
        <is>
          <t xml:space="preserve">friend </t>
        </is>
      </c>
      <c r="B10286">
        <f>VLOOKUP(1939,Requirements!A2:B2967,2,FALSE)</f>
        <v/>
      </c>
    </row>
    <row r="10287">
      <c r="A10287" t="inlineStr">
        <is>
          <t xml:space="preserve">friend </t>
        </is>
      </c>
      <c r="B10287">
        <f>VLOOKUP(2152,Requirements!A2:B2967,2,FALSE)</f>
        <v/>
      </c>
    </row>
    <row r="10288">
      <c r="A10288" t="inlineStr">
        <is>
          <t xml:space="preserve">friend </t>
        </is>
      </c>
      <c r="B10288">
        <f>VLOOKUP(2532,Requirements!A2:B2967,2,FALSE)</f>
        <v/>
      </c>
    </row>
    <row r="10289">
      <c r="A10289" t="inlineStr">
        <is>
          <t xml:space="preserve">friend </t>
        </is>
      </c>
      <c r="B10289">
        <f>VLOOKUP(2618,Requirements!A2:B2967,2,FALSE)</f>
        <v/>
      </c>
    </row>
    <row r="10290">
      <c r="A10290" t="inlineStr">
        <is>
          <t xml:space="preserve">friend </t>
        </is>
      </c>
      <c r="B10290">
        <f>VLOOKUP(2889,Requirements!A2:B2967,2,FALSE)</f>
        <v/>
      </c>
    </row>
    <row r="10291">
      <c r="A10291" t="inlineStr">
        <is>
          <t xml:space="preserve">network </t>
        </is>
      </c>
      <c r="B10291">
        <f>VLOOKUP(979,Requirements!A2:B2967,2,FALSE)</f>
        <v/>
      </c>
    </row>
    <row r="10292">
      <c r="A10292" t="inlineStr">
        <is>
          <t xml:space="preserve">network </t>
        </is>
      </c>
      <c r="B10292">
        <f>VLOOKUP(1247,Requirements!A2:B2967,2,FALSE)</f>
        <v/>
      </c>
    </row>
    <row r="10293">
      <c r="A10293" t="inlineStr">
        <is>
          <t xml:space="preserve">network </t>
        </is>
      </c>
      <c r="B10293">
        <f>VLOOKUP(1259,Requirements!A2:B2967,2,FALSE)</f>
        <v/>
      </c>
    </row>
    <row r="10294">
      <c r="A10294" t="inlineStr">
        <is>
          <t xml:space="preserve">network </t>
        </is>
      </c>
      <c r="B10294">
        <f>VLOOKUP(1277,Requirements!A2:B2967,2,FALSE)</f>
        <v/>
      </c>
    </row>
    <row r="10295">
      <c r="A10295" t="inlineStr">
        <is>
          <t xml:space="preserve">network </t>
        </is>
      </c>
      <c r="B10295">
        <f>VLOOKUP(1427,Requirements!A2:B2967,2,FALSE)</f>
        <v/>
      </c>
    </row>
    <row r="10296">
      <c r="A10296" t="inlineStr">
        <is>
          <t xml:space="preserve">network </t>
        </is>
      </c>
      <c r="B10296">
        <f>VLOOKUP(2155,Requirements!A2:B2967,2,FALSE)</f>
        <v/>
      </c>
    </row>
    <row r="10297">
      <c r="A10297" t="inlineStr">
        <is>
          <t xml:space="preserve">medicine </t>
        </is>
      </c>
      <c r="B10297">
        <f>VLOOKUP(983,Requirements!A2:B2967,2,FALSE)</f>
        <v/>
      </c>
    </row>
    <row r="10298">
      <c r="A10298" t="inlineStr">
        <is>
          <t xml:space="preserve">medicine </t>
        </is>
      </c>
      <c r="B10298">
        <f>VLOOKUP(1602,Requirements!A2:B2967,2,FALSE)</f>
        <v/>
      </c>
    </row>
    <row r="10299">
      <c r="A10299" t="inlineStr">
        <is>
          <t xml:space="preserve">medicine </t>
        </is>
      </c>
      <c r="B10299">
        <f>VLOOKUP(1800,Requirements!A2:B2967,2,FALSE)</f>
        <v/>
      </c>
    </row>
    <row r="10300">
      <c r="A10300" t="inlineStr">
        <is>
          <t xml:space="preserve">medicine </t>
        </is>
      </c>
      <c r="B10300">
        <f>VLOOKUP(2009,Requirements!A2:B2967,2,FALSE)</f>
        <v/>
      </c>
    </row>
    <row r="10301">
      <c r="A10301" t="inlineStr">
        <is>
          <t xml:space="preserve">medicine </t>
        </is>
      </c>
      <c r="B10301">
        <f>VLOOKUP(2294,Requirements!A2:B2967,2,FALSE)</f>
        <v/>
      </c>
    </row>
    <row r="10302">
      <c r="A10302" t="inlineStr">
        <is>
          <t xml:space="preserve">medicine </t>
        </is>
      </c>
      <c r="B10302">
        <f>VLOOKUP(2475,Requirements!A2:B2967,2,FALSE)</f>
        <v/>
      </c>
    </row>
    <row r="10303">
      <c r="A10303" t="inlineStr">
        <is>
          <t xml:space="preserve">medicine </t>
        </is>
      </c>
      <c r="B10303">
        <f>VLOOKUP(2816,Requirements!A2:B2967,2,FALSE)</f>
        <v/>
      </c>
    </row>
    <row r="10304">
      <c r="A10304" t="inlineStr">
        <is>
          <t xml:space="preserve">load </t>
        </is>
      </c>
      <c r="B10304">
        <f>VLOOKUP(986,Requirements!A2:B2967,2,FALSE)</f>
        <v/>
      </c>
    </row>
    <row r="10305">
      <c r="A10305" t="inlineStr">
        <is>
          <t xml:space="preserve">load </t>
        </is>
      </c>
      <c r="B10305">
        <f>VLOOKUP(1067,Requirements!A2:B2967,2,FALSE)</f>
        <v/>
      </c>
    </row>
    <row r="10306">
      <c r="A10306" t="inlineStr">
        <is>
          <t xml:space="preserve">load </t>
        </is>
      </c>
      <c r="B10306">
        <f>VLOOKUP(2129,Requirements!A2:B2967,2,FALSE)</f>
        <v/>
      </c>
    </row>
    <row r="10307">
      <c r="A10307" t="inlineStr">
        <is>
          <t xml:space="preserve">load </t>
        </is>
      </c>
      <c r="B10307">
        <f>VLOOKUP(2783,Requirements!A2:B2967,2,FALSE)</f>
        <v/>
      </c>
    </row>
    <row r="10308">
      <c r="A10308" t="inlineStr">
        <is>
          <t xml:space="preserve">load </t>
        </is>
      </c>
      <c r="B10308">
        <f>VLOOKUP(3030,Requirements!A2:B2967,2,FALSE)</f>
        <v/>
      </c>
    </row>
    <row r="10309">
      <c r="A10309" t="inlineStr">
        <is>
          <t xml:space="preserve">cell phone </t>
        </is>
      </c>
      <c r="B10309">
        <f>VLOOKUP(1003,Requirements!A2:B2967,2,FALSE)</f>
        <v/>
      </c>
    </row>
    <row r="10310">
      <c r="A10310" t="inlineStr">
        <is>
          <t xml:space="preserve">cell phone </t>
        </is>
      </c>
      <c r="B10310">
        <f>VLOOKUP(1165,Requirements!A2:B2967,2,FALSE)</f>
        <v/>
      </c>
    </row>
    <row r="10311">
      <c r="A10311" t="inlineStr">
        <is>
          <t xml:space="preserve">cell phone </t>
        </is>
      </c>
      <c r="B10311">
        <f>VLOOKUP(1276,Requirements!A2:B2967,2,FALSE)</f>
        <v/>
      </c>
    </row>
    <row r="10312">
      <c r="A10312" t="inlineStr">
        <is>
          <t xml:space="preserve">cell phone </t>
        </is>
      </c>
      <c r="B10312">
        <f>VLOOKUP(1426,Requirements!A2:B2967,2,FALSE)</f>
        <v/>
      </c>
    </row>
    <row r="10313">
      <c r="A10313" t="inlineStr">
        <is>
          <t xml:space="preserve">cell phone </t>
        </is>
      </c>
      <c r="B10313">
        <f>VLOOKUP(1589,Requirements!A2:B2967,2,FALSE)</f>
        <v/>
      </c>
    </row>
    <row r="10314">
      <c r="A10314" t="inlineStr">
        <is>
          <t xml:space="preserve">cell phone </t>
        </is>
      </c>
      <c r="B10314">
        <f>VLOOKUP(1890,Requirements!A2:B2967,2,FALSE)</f>
        <v/>
      </c>
    </row>
    <row r="10315">
      <c r="A10315" t="inlineStr">
        <is>
          <t xml:space="preserve">cell phone </t>
        </is>
      </c>
      <c r="B10315">
        <f>VLOOKUP(2778,Requirements!A2:B2967,2,FALSE)</f>
        <v/>
      </c>
    </row>
    <row r="10316">
      <c r="A10316" t="inlineStr">
        <is>
          <t xml:space="preserve">waste </t>
        </is>
      </c>
      <c r="B10316">
        <f>VLOOKUP(1026,Requirements!A2:B2967,2,FALSE)</f>
        <v/>
      </c>
    </row>
    <row r="10317">
      <c r="A10317" t="inlineStr">
        <is>
          <t xml:space="preserve">waste </t>
        </is>
      </c>
      <c r="B10317">
        <f>VLOOKUP(1075,Requirements!A2:B2967,2,FALSE)</f>
        <v/>
      </c>
    </row>
    <row r="10318">
      <c r="A10318" t="inlineStr">
        <is>
          <t xml:space="preserve">waste </t>
        </is>
      </c>
      <c r="B10318">
        <f>VLOOKUP(1914,Requirements!A2:B2967,2,FALSE)</f>
        <v/>
      </c>
    </row>
    <row r="10319">
      <c r="A10319" t="inlineStr">
        <is>
          <t xml:space="preserve">waste </t>
        </is>
      </c>
      <c r="B10319">
        <f>VLOOKUP(2089,Requirements!A2:B2967,2,FALSE)</f>
        <v/>
      </c>
    </row>
    <row r="10320">
      <c r="A10320" t="inlineStr">
        <is>
          <t xml:space="preserve">waste </t>
        </is>
      </c>
      <c r="B10320">
        <f>VLOOKUP(2114,Requirements!A2:B2967,2,FALSE)</f>
        <v/>
      </c>
    </row>
    <row r="10321">
      <c r="A10321" t="inlineStr">
        <is>
          <t xml:space="preserve">waste </t>
        </is>
      </c>
      <c r="B10321">
        <f>VLOOKUP(2123,Requirements!A2:B2967,2,FALSE)</f>
        <v/>
      </c>
    </row>
    <row r="10322">
      <c r="A10322" t="inlineStr">
        <is>
          <t xml:space="preserve">waste </t>
        </is>
      </c>
      <c r="B10322">
        <f>VLOOKUP(2218,Requirements!A2:B2967,2,FALSE)</f>
        <v/>
      </c>
    </row>
    <row r="10323">
      <c r="A10323" t="inlineStr">
        <is>
          <t xml:space="preserve">waste </t>
        </is>
      </c>
      <c r="B10323">
        <f>VLOOKUP(2351,Requirements!A2:B2967,2,FALSE)</f>
        <v/>
      </c>
    </row>
    <row r="10324">
      <c r="A10324" t="inlineStr">
        <is>
          <t xml:space="preserve">waste </t>
        </is>
      </c>
      <c r="B10324">
        <f>VLOOKUP(2777,Requirements!A2:B2967,2,FALSE)</f>
        <v/>
      </c>
    </row>
    <row r="10325">
      <c r="A10325" t="inlineStr">
        <is>
          <t xml:space="preserve">waste </t>
        </is>
      </c>
      <c r="B10325">
        <f>VLOOKUP(3128,Requirements!A2:B2967,2,FALSE)</f>
        <v/>
      </c>
    </row>
    <row r="10326">
      <c r="A10326" t="inlineStr">
        <is>
          <t xml:space="preserve">waste </t>
        </is>
      </c>
      <c r="B10326">
        <f>VLOOKUP(3134,Requirements!A2:B2967,2,FALSE)</f>
        <v/>
      </c>
    </row>
    <row r="10327">
      <c r="A10327" t="inlineStr">
        <is>
          <t xml:space="preserve">escape </t>
        </is>
      </c>
      <c r="B10327">
        <f>VLOOKUP(1047,Requirements!A2:B2967,2,FALSE)</f>
        <v/>
      </c>
    </row>
    <row r="10328">
      <c r="A10328" t="inlineStr">
        <is>
          <t xml:space="preserve">escape </t>
        </is>
      </c>
      <c r="B10328">
        <f>VLOOKUP(2514,Requirements!A2:B2967,2,FALSE)</f>
        <v/>
      </c>
    </row>
    <row r="10329">
      <c r="A10329" t="inlineStr">
        <is>
          <t xml:space="preserve">escape </t>
        </is>
      </c>
      <c r="B10329">
        <f>VLOOKUP(2517,Requirements!A2:B2967,2,FALSE)</f>
        <v/>
      </c>
    </row>
    <row r="10330">
      <c r="A10330" t="inlineStr">
        <is>
          <t xml:space="preserve">escape </t>
        </is>
      </c>
      <c r="B10330">
        <f>VLOOKUP(2610,Requirements!A2:B2967,2,FALSE)</f>
        <v/>
      </c>
    </row>
    <row r="10331">
      <c r="A10331" t="inlineStr">
        <is>
          <t xml:space="preserve">escape </t>
        </is>
      </c>
      <c r="B10331">
        <f>VLOOKUP(2890,Requirements!A2:B2967,2,FALSE)</f>
        <v/>
      </c>
    </row>
    <row r="10332">
      <c r="A10332" t="inlineStr">
        <is>
          <t xml:space="preserve">hair </t>
        </is>
      </c>
      <c r="B10332">
        <f>VLOOKUP(1048,Requirements!A2:B2967,2,FALSE)</f>
        <v/>
      </c>
    </row>
    <row r="10333">
      <c r="A10333" t="inlineStr">
        <is>
          <t xml:space="preserve">hair </t>
        </is>
      </c>
      <c r="B10333">
        <f>VLOOKUP(1417,Requirements!A2:B2967,2,FALSE)</f>
        <v/>
      </c>
    </row>
    <row r="10334">
      <c r="A10334" t="inlineStr">
        <is>
          <t xml:space="preserve">hair </t>
        </is>
      </c>
      <c r="B10334">
        <f>VLOOKUP(2664,Requirements!A2:B2967,2,FALSE)</f>
        <v/>
      </c>
    </row>
    <row r="10335">
      <c r="A10335" t="inlineStr">
        <is>
          <t xml:space="preserve">hair </t>
        </is>
      </c>
      <c r="B10335">
        <f>VLOOKUP(3097,Requirements!A2:B2967,2,FALSE)</f>
        <v/>
      </c>
    </row>
    <row r="10336">
      <c r="A10336" t="inlineStr">
        <is>
          <t xml:space="preserve">hair </t>
        </is>
      </c>
      <c r="B10336">
        <f>VLOOKUP(3147,Requirements!A2:B2967,2,FALSE)</f>
        <v/>
      </c>
    </row>
    <row r="10337">
      <c r="A10337" t="inlineStr">
        <is>
          <t xml:space="preserve">garbage </t>
        </is>
      </c>
      <c r="B10337">
        <f>VLOOKUP(1066,Requirements!A2:B2967,2,FALSE)</f>
        <v/>
      </c>
    </row>
    <row r="10338">
      <c r="A10338" t="inlineStr">
        <is>
          <t xml:space="preserve">garbage </t>
        </is>
      </c>
      <c r="B10338">
        <f>VLOOKUP(1201,Requirements!A2:B2967,2,FALSE)</f>
        <v/>
      </c>
    </row>
    <row r="10339">
      <c r="A10339" t="inlineStr">
        <is>
          <t xml:space="preserve">garbage </t>
        </is>
      </c>
      <c r="B10339">
        <f>VLOOKUP(1618,Requirements!A2:B2967,2,FALSE)</f>
        <v/>
      </c>
    </row>
    <row r="10340">
      <c r="A10340" t="inlineStr">
        <is>
          <t xml:space="preserve">garbage </t>
        </is>
      </c>
      <c r="B10340">
        <f>VLOOKUP(2091,Requirements!A2:B2967,2,FALSE)</f>
        <v/>
      </c>
    </row>
    <row r="10341">
      <c r="A10341" t="inlineStr">
        <is>
          <t xml:space="preserve">garbage </t>
        </is>
      </c>
      <c r="B10341">
        <f>VLOOKUP(2522,Requirements!A2:B2967,2,FALSE)</f>
        <v/>
      </c>
    </row>
    <row r="10342">
      <c r="A10342" t="inlineStr">
        <is>
          <t xml:space="preserve">garbage </t>
        </is>
      </c>
      <c r="B10342">
        <f>VLOOKUP(2925,Requirements!A2:B2967,2,FALSE)</f>
        <v/>
      </c>
    </row>
    <row r="10343">
      <c r="A10343" t="inlineStr">
        <is>
          <t xml:space="preserve">less energy </t>
        </is>
      </c>
      <c r="B10343">
        <f>VLOOKUP(1070,Requirements!A2:B2967,2,FALSE)</f>
        <v/>
      </c>
    </row>
    <row r="10344">
      <c r="A10344" t="inlineStr">
        <is>
          <t xml:space="preserve">less energy </t>
        </is>
      </c>
      <c r="B10344">
        <f>VLOOKUP(1085,Requirements!A2:B2967,2,FALSE)</f>
        <v/>
      </c>
    </row>
    <row r="10345">
      <c r="A10345" t="inlineStr">
        <is>
          <t xml:space="preserve">less energy </t>
        </is>
      </c>
      <c r="B10345">
        <f>VLOOKUP(1090,Requirements!A2:B2967,2,FALSE)</f>
        <v/>
      </c>
    </row>
    <row r="10346">
      <c r="A10346" t="inlineStr">
        <is>
          <t xml:space="preserve">less energy </t>
        </is>
      </c>
      <c r="B10346">
        <f>VLOOKUP(1902,Requirements!A2:B2967,2,FALSE)</f>
        <v/>
      </c>
    </row>
    <row r="10347">
      <c r="A10347" t="inlineStr">
        <is>
          <t xml:space="preserve">less energy </t>
        </is>
      </c>
      <c r="B10347">
        <f>VLOOKUP(1986,Requirements!A2:B2967,2,FALSE)</f>
        <v/>
      </c>
    </row>
    <row r="10348">
      <c r="A10348" t="inlineStr">
        <is>
          <t xml:space="preserve">sound system </t>
        </is>
      </c>
      <c r="B10348">
        <f>VLOOKUP(1171,Requirements!A2:B2967,2,FALSE)</f>
        <v/>
      </c>
    </row>
    <row r="10349">
      <c r="A10349" t="inlineStr">
        <is>
          <t xml:space="preserve">sound system </t>
        </is>
      </c>
      <c r="B10349">
        <f>VLOOKUP(1511,Requirements!A2:B2967,2,FALSE)</f>
        <v/>
      </c>
    </row>
    <row r="10350">
      <c r="A10350" t="inlineStr">
        <is>
          <t xml:space="preserve">sound system </t>
        </is>
      </c>
      <c r="B10350">
        <f>VLOOKUP(1527,Requirements!A2:B2967,2,FALSE)</f>
        <v/>
      </c>
    </row>
    <row r="10351">
      <c r="A10351" t="inlineStr">
        <is>
          <t xml:space="preserve">sound system </t>
        </is>
      </c>
      <c r="B10351">
        <f>VLOOKUP(1585,Requirements!A2:B2967,2,FALSE)</f>
        <v/>
      </c>
    </row>
    <row r="10352">
      <c r="A10352" t="inlineStr">
        <is>
          <t xml:space="preserve">sound system </t>
        </is>
      </c>
      <c r="B10352">
        <f>VLOOKUP(2024,Requirements!A2:B2967,2,FALSE)</f>
        <v/>
      </c>
    </row>
    <row r="10353">
      <c r="A10353" t="inlineStr">
        <is>
          <t xml:space="preserve">panel </t>
        </is>
      </c>
      <c r="B10353">
        <f>VLOOKUP(1173,Requirements!A2:B2967,2,FALSE)</f>
        <v/>
      </c>
    </row>
    <row r="10354">
      <c r="A10354" t="inlineStr">
        <is>
          <t xml:space="preserve">panel </t>
        </is>
      </c>
      <c r="B10354">
        <f>VLOOKUP(1743,Requirements!A2:B2967,2,FALSE)</f>
        <v/>
      </c>
    </row>
    <row r="10355">
      <c r="A10355" t="inlineStr">
        <is>
          <t xml:space="preserve">panel </t>
        </is>
      </c>
      <c r="B10355">
        <f>VLOOKUP(1861,Requirements!A2:B2967,2,FALSE)</f>
        <v/>
      </c>
    </row>
    <row r="10356">
      <c r="A10356" t="inlineStr">
        <is>
          <t xml:space="preserve">panel </t>
        </is>
      </c>
      <c r="B10356">
        <f>VLOOKUP(1865,Requirements!A2:B2967,2,FALSE)</f>
        <v/>
      </c>
    </row>
    <row r="10357">
      <c r="A10357" t="inlineStr">
        <is>
          <t xml:space="preserve">panel </t>
        </is>
      </c>
      <c r="B10357">
        <f>VLOOKUP(1867,Requirements!A2:B2967,2,FALSE)</f>
        <v/>
      </c>
    </row>
    <row r="10358">
      <c r="A10358" t="inlineStr">
        <is>
          <t xml:space="preserve">panel </t>
        </is>
      </c>
      <c r="B10358">
        <f>VLOOKUP(1869,Requirements!A2:B2967,2,FALSE)</f>
        <v/>
      </c>
    </row>
    <row r="10359">
      <c r="A10359" t="inlineStr">
        <is>
          <t xml:space="preserve">panel </t>
        </is>
      </c>
      <c r="B10359">
        <f>VLOOKUP(2105,Requirements!A2:B2967,2,FALSE)</f>
        <v/>
      </c>
    </row>
    <row r="10360">
      <c r="A10360" t="inlineStr">
        <is>
          <t xml:space="preserve">cabinet </t>
        </is>
      </c>
      <c r="B10360">
        <f>VLOOKUP(1210,Requirements!A2:B2967,2,FALSE)</f>
        <v/>
      </c>
    </row>
    <row r="10361">
      <c r="A10361" t="inlineStr">
        <is>
          <t xml:space="preserve">cabinet </t>
        </is>
      </c>
      <c r="B10361">
        <f>VLOOKUP(1951,Requirements!A2:B2967,2,FALSE)</f>
        <v/>
      </c>
    </row>
    <row r="10362">
      <c r="A10362" t="inlineStr">
        <is>
          <t xml:space="preserve">cabinet </t>
        </is>
      </c>
      <c r="B10362">
        <f>VLOOKUP(1952,Requirements!A2:B2967,2,FALSE)</f>
        <v/>
      </c>
    </row>
    <row r="10363">
      <c r="A10363" t="inlineStr">
        <is>
          <t xml:space="preserve">cabinet </t>
        </is>
      </c>
      <c r="B10363">
        <f>VLOOKUP(2386,Requirements!A2:B2967,2,FALSE)</f>
        <v/>
      </c>
    </row>
    <row r="10364">
      <c r="A10364" t="inlineStr">
        <is>
          <t xml:space="preserve">cabinet </t>
        </is>
      </c>
      <c r="B10364">
        <f>VLOOKUP(2877,Requirements!A2:B2967,2,FALSE)</f>
        <v/>
      </c>
    </row>
    <row r="10365">
      <c r="A10365" t="inlineStr">
        <is>
          <t xml:space="preserve">cabinet </t>
        </is>
      </c>
      <c r="B10365">
        <f>VLOOKUP(3222,Requirements!A2:B2967,2,FALSE)</f>
        <v/>
      </c>
    </row>
    <row r="10366">
      <c r="A10366" t="inlineStr">
        <is>
          <t xml:space="preserve">efficient </t>
        </is>
      </c>
      <c r="B10366">
        <f>VLOOKUP(1298,Requirements!A2:B2967,2,FALSE)</f>
        <v/>
      </c>
    </row>
    <row r="10367">
      <c r="A10367" t="inlineStr">
        <is>
          <t xml:space="preserve">efficient </t>
        </is>
      </c>
      <c r="B10367">
        <f>VLOOKUP(1444,Requirements!A2:B2967,2,FALSE)</f>
        <v/>
      </c>
    </row>
    <row r="10368">
      <c r="A10368" t="inlineStr">
        <is>
          <t xml:space="preserve">efficient </t>
        </is>
      </c>
      <c r="B10368">
        <f>VLOOKUP(1570,Requirements!A2:B2967,2,FALSE)</f>
        <v/>
      </c>
    </row>
    <row r="10369">
      <c r="A10369" t="inlineStr">
        <is>
          <t xml:space="preserve">efficient </t>
        </is>
      </c>
      <c r="B10369">
        <f>VLOOKUP(2013,Requirements!A2:B2967,2,FALSE)</f>
        <v/>
      </c>
    </row>
    <row r="10370">
      <c r="A10370" t="inlineStr">
        <is>
          <t xml:space="preserve">efficient </t>
        </is>
      </c>
      <c r="B10370">
        <f>VLOOKUP(2076,Requirements!A2:B2967,2,FALSE)</f>
        <v/>
      </c>
    </row>
    <row r="10371">
      <c r="A10371" t="inlineStr">
        <is>
          <t xml:space="preserve">efficient </t>
        </is>
      </c>
      <c r="B10371">
        <f>VLOOKUP(2365,Requirements!A2:B2967,2,FALSE)</f>
        <v/>
      </c>
    </row>
    <row r="10372">
      <c r="A10372" t="inlineStr">
        <is>
          <t xml:space="preserve">efficient </t>
        </is>
      </c>
      <c r="B10372">
        <f>VLOOKUP(2891,Requirements!A2:B2967,2,FALSE)</f>
        <v/>
      </c>
    </row>
    <row r="10373">
      <c r="A10373" t="inlineStr">
        <is>
          <t xml:space="preserve">peace </t>
        </is>
      </c>
      <c r="B10373">
        <f>VLOOKUP(1402,Requirements!A2:B2967,2,FALSE)</f>
        <v/>
      </c>
    </row>
    <row r="10374">
      <c r="A10374" t="inlineStr">
        <is>
          <t xml:space="preserve">peace </t>
        </is>
      </c>
      <c r="B10374">
        <f>VLOOKUP(1749,Requirements!A2:B2967,2,FALSE)</f>
        <v/>
      </c>
    </row>
    <row r="10375">
      <c r="A10375" t="inlineStr">
        <is>
          <t xml:space="preserve">peace </t>
        </is>
      </c>
      <c r="B10375">
        <f>VLOOKUP(2073,Requirements!A2:B2967,2,FALSE)</f>
        <v/>
      </c>
    </row>
    <row r="10376">
      <c r="A10376" t="inlineStr">
        <is>
          <t xml:space="preserve">peace </t>
        </is>
      </c>
      <c r="B10376">
        <f>VLOOKUP(2232,Requirements!A2:B2967,2,FALSE)</f>
        <v/>
      </c>
    </row>
    <row r="10377">
      <c r="A10377" t="inlineStr">
        <is>
          <t xml:space="preserve">peace </t>
        </is>
      </c>
      <c r="B10377">
        <f>VLOOKUP(2285,Requirements!A2:B2967,2,FALSE)</f>
        <v/>
      </c>
    </row>
    <row r="10378">
      <c r="A10378" t="inlineStr">
        <is>
          <t xml:space="preserve">peace </t>
        </is>
      </c>
      <c r="B10378">
        <f>VLOOKUP(2405,Requirements!A2:B2967,2,FALSE)</f>
        <v/>
      </c>
    </row>
    <row r="10379">
      <c r="A10379" t="inlineStr">
        <is>
          <t xml:space="preserve">drain </t>
        </is>
      </c>
      <c r="B10379">
        <f>VLOOKUP(1412,Requirements!A2:B2967,2,FALSE)</f>
        <v/>
      </c>
    </row>
    <row r="10380">
      <c r="A10380" t="inlineStr">
        <is>
          <t xml:space="preserve">drain </t>
        </is>
      </c>
      <c r="B10380">
        <f>VLOOKUP(1614,Requirements!A2:B2967,2,FALSE)</f>
        <v/>
      </c>
    </row>
    <row r="10381">
      <c r="A10381" t="inlineStr">
        <is>
          <t xml:space="preserve">drain </t>
        </is>
      </c>
      <c r="B10381">
        <f>VLOOKUP(2187,Requirements!A2:B2967,2,FALSE)</f>
        <v/>
      </c>
    </row>
    <row r="10382">
      <c r="A10382" t="inlineStr">
        <is>
          <t xml:space="preserve">drain </t>
        </is>
      </c>
      <c r="B10382">
        <f>VLOOKUP(2220,Requirements!A2:B2967,2,FALSE)</f>
        <v/>
      </c>
    </row>
    <row r="10383">
      <c r="A10383" t="inlineStr">
        <is>
          <t xml:space="preserve">drain </t>
        </is>
      </c>
      <c r="B10383">
        <f>VLOOKUP(2688,Requirements!A2:B2967,2,FALSE)</f>
        <v/>
      </c>
    </row>
    <row r="10384">
      <c r="A10384" t="inlineStr">
        <is>
          <t xml:space="preserve">security system </t>
        </is>
      </c>
      <c r="B10384">
        <f>VLOOKUP(1428,Requirements!A2:B2967,2,FALSE)</f>
        <v/>
      </c>
    </row>
    <row r="10385">
      <c r="A10385" t="inlineStr">
        <is>
          <t xml:space="preserve">security system </t>
        </is>
      </c>
      <c r="B10385">
        <f>VLOOKUP(1639,Requirements!A2:B2967,2,FALSE)</f>
        <v/>
      </c>
    </row>
    <row r="10386">
      <c r="A10386" t="inlineStr">
        <is>
          <t xml:space="preserve">security system </t>
        </is>
      </c>
      <c r="B10386">
        <f>VLOOKUP(2252,Requirements!A2:B2967,2,FALSE)</f>
        <v/>
      </c>
    </row>
    <row r="10387">
      <c r="A10387" t="inlineStr">
        <is>
          <t xml:space="preserve">security system </t>
        </is>
      </c>
      <c r="B10387">
        <f>VLOOKUP(2615,Requirements!A2:B2967,2,FALSE)</f>
        <v/>
      </c>
    </row>
    <row r="10388">
      <c r="A10388" t="inlineStr">
        <is>
          <t xml:space="preserve">security system </t>
        </is>
      </c>
      <c r="B10388">
        <f>VLOOKUP(2922,Requirements!A2:B2967,2,FALSE)</f>
        <v/>
      </c>
    </row>
    <row r="10389">
      <c r="A10389" t="inlineStr">
        <is>
          <t xml:space="preserve">security system </t>
        </is>
      </c>
      <c r="B10389">
        <f>VLOOKUP(3196,Requirements!A2:B2967,2,FALSE)</f>
        <v/>
      </c>
    </row>
    <row r="10390">
      <c r="A10390" t="inlineStr">
        <is>
          <t xml:space="preserve">sport fan </t>
        </is>
      </c>
      <c r="B10390">
        <f>VLOOKUP(1438,Requirements!A2:B2967,2,FALSE)</f>
        <v/>
      </c>
    </row>
    <row r="10391">
      <c r="A10391" t="inlineStr">
        <is>
          <t xml:space="preserve">sport fan </t>
        </is>
      </c>
      <c r="B10391">
        <f>VLOOKUP(1843,Requirements!A2:B2967,2,FALSE)</f>
        <v/>
      </c>
    </row>
    <row r="10392">
      <c r="A10392" t="inlineStr">
        <is>
          <t xml:space="preserve">sport fan </t>
        </is>
      </c>
      <c r="B10392">
        <f>VLOOKUP(1980,Requirements!A2:B2967,2,FALSE)</f>
        <v/>
      </c>
    </row>
    <row r="10393">
      <c r="A10393" t="inlineStr">
        <is>
          <t xml:space="preserve">sport fan </t>
        </is>
      </c>
      <c r="B10393">
        <f>VLOOKUP(2020,Requirements!A2:B2967,2,FALSE)</f>
        <v/>
      </c>
    </row>
    <row r="10394">
      <c r="A10394" t="inlineStr">
        <is>
          <t xml:space="preserve">sport fan </t>
        </is>
      </c>
      <c r="B10394">
        <f>VLOOKUP(2634,Requirements!A2:B2967,2,FALSE)</f>
        <v/>
      </c>
    </row>
    <row r="10395">
      <c r="A10395" t="inlineStr">
        <is>
          <t xml:space="preserve">unwanted </t>
        </is>
      </c>
      <c r="B10395">
        <f>VLOOKUP(1505,Requirements!A2:B2967,2,FALSE)</f>
        <v/>
      </c>
    </row>
    <row r="10396">
      <c r="A10396" t="inlineStr">
        <is>
          <t xml:space="preserve">unwanted </t>
        </is>
      </c>
      <c r="B10396">
        <f>VLOOKUP(1579,Requirements!A2:B2967,2,FALSE)</f>
        <v/>
      </c>
    </row>
    <row r="10397">
      <c r="A10397" t="inlineStr">
        <is>
          <t xml:space="preserve">unwanted </t>
        </is>
      </c>
      <c r="B10397">
        <f>VLOOKUP(2445,Requirements!A2:B2967,2,FALSE)</f>
        <v/>
      </c>
    </row>
    <row r="10398">
      <c r="A10398" t="inlineStr">
        <is>
          <t xml:space="preserve">unwanted </t>
        </is>
      </c>
      <c r="B10398">
        <f>VLOOKUP(2462,Requirements!A2:B2967,2,FALSE)</f>
        <v/>
      </c>
    </row>
    <row r="10399">
      <c r="A10399" t="inlineStr">
        <is>
          <t xml:space="preserve">unwanted </t>
        </is>
      </c>
      <c r="B10399">
        <f>VLOOKUP(2564,Requirements!A2:B2967,2,FALSE)</f>
        <v/>
      </c>
    </row>
    <row r="10400">
      <c r="A10400" t="inlineStr">
        <is>
          <t xml:space="preserve">unwanted </t>
        </is>
      </c>
      <c r="B10400">
        <f>VLOOKUP(2899,Requirements!A2:B2967,2,FALSE)</f>
        <v/>
      </c>
    </row>
    <row r="10401">
      <c r="A10401" t="inlineStr">
        <is>
          <t xml:space="preserve">unwanted </t>
        </is>
      </c>
      <c r="B10401">
        <f>VLOOKUP(2908,Requirements!A2:B2967,2,FALSE)</f>
        <v/>
      </c>
    </row>
    <row r="10402">
      <c r="A10402" t="inlineStr">
        <is>
          <t xml:space="preserve">roof </t>
        </is>
      </c>
      <c r="B10402">
        <f>VLOOKUP(1540,Requirements!A2:B2967,2,FALSE)</f>
        <v/>
      </c>
    </row>
    <row r="10403">
      <c r="A10403" t="inlineStr">
        <is>
          <t xml:space="preserve">roof </t>
        </is>
      </c>
      <c r="B10403">
        <f>VLOOKUP(1553,Requirements!A2:B2967,2,FALSE)</f>
        <v/>
      </c>
    </row>
    <row r="10404">
      <c r="A10404" t="inlineStr">
        <is>
          <t xml:space="preserve">roof </t>
        </is>
      </c>
      <c r="B10404">
        <f>VLOOKUP(2018,Requirements!A2:B2967,2,FALSE)</f>
        <v/>
      </c>
    </row>
    <row r="10405">
      <c r="A10405" t="inlineStr">
        <is>
          <t xml:space="preserve">roof </t>
        </is>
      </c>
      <c r="B10405">
        <f>VLOOKUP(2447,Requirements!A2:B2967,2,FALSE)</f>
        <v/>
      </c>
    </row>
    <row r="10406">
      <c r="A10406" t="inlineStr">
        <is>
          <t xml:space="preserve">roof </t>
        </is>
      </c>
      <c r="B10406">
        <f>VLOOKUP(2594,Requirements!A2:B2967,2,FALSE)</f>
        <v/>
      </c>
    </row>
    <row r="10407">
      <c r="A10407" t="inlineStr">
        <is>
          <t xml:space="preserve">roof </t>
        </is>
      </c>
      <c r="B10407">
        <f>VLOOKUP(2694,Requirements!A2:B2967,2,FALSE)</f>
        <v/>
      </c>
    </row>
    <row r="10408">
      <c r="A10408" t="inlineStr">
        <is>
          <t xml:space="preserve">roof </t>
        </is>
      </c>
      <c r="B10408">
        <f>VLOOKUP(2776,Requirements!A2:B2967,2,FALSE)</f>
        <v/>
      </c>
    </row>
    <row r="10409">
      <c r="A10409" t="inlineStr">
        <is>
          <t xml:space="preserve">roof </t>
        </is>
      </c>
      <c r="B10409">
        <f>VLOOKUP(2782,Requirements!A2:B2967,2,FALSE)</f>
        <v/>
      </c>
    </row>
    <row r="10410">
      <c r="A10410" t="inlineStr">
        <is>
          <t xml:space="preserve">roof </t>
        </is>
      </c>
      <c r="B10410">
        <f>VLOOKUP(3242,Requirements!A2:B2967,2,FALSE)</f>
        <v/>
      </c>
    </row>
    <row r="10411">
      <c r="A10411" t="inlineStr">
        <is>
          <t xml:space="preserve">authority </t>
        </is>
      </c>
      <c r="B10411">
        <f>VLOOKUP(1691,Requirements!A2:B2967,2,FALSE)</f>
        <v/>
      </c>
    </row>
    <row r="10412">
      <c r="A10412" t="inlineStr">
        <is>
          <t xml:space="preserve">authority </t>
        </is>
      </c>
      <c r="B10412">
        <f>VLOOKUP(2403,Requirements!A2:B2967,2,FALSE)</f>
        <v/>
      </c>
    </row>
    <row r="10413">
      <c r="A10413" t="inlineStr">
        <is>
          <t xml:space="preserve">authority </t>
        </is>
      </c>
      <c r="B10413">
        <f>VLOOKUP(2573,Requirements!A2:B2967,2,FALSE)</f>
        <v/>
      </c>
    </row>
    <row r="10414">
      <c r="A10414" t="inlineStr">
        <is>
          <t xml:space="preserve">authority </t>
        </is>
      </c>
      <c r="B10414">
        <f>VLOOKUP(2577,Requirements!A2:B2967,2,FALSE)</f>
        <v/>
      </c>
    </row>
    <row r="10415">
      <c r="A10415" t="inlineStr">
        <is>
          <t xml:space="preserve">authority </t>
        </is>
      </c>
      <c r="B10415">
        <f>VLOOKUP(2581,Requirements!A2:B2967,2,FALSE)</f>
        <v/>
      </c>
    </row>
    <row r="10416">
      <c r="A10416" t="inlineStr">
        <is>
          <t xml:space="preserve">authority </t>
        </is>
      </c>
      <c r="B10416">
        <f>VLOOKUP(3196,Requirements!A2:B2967,2,FALSE)</f>
        <v/>
      </c>
    </row>
    <row r="10417">
      <c r="A10417" t="inlineStr">
        <is>
          <t xml:space="preserve">stair </t>
        </is>
      </c>
      <c r="B10417">
        <f>VLOOKUP(1814,Requirements!A2:B2967,2,FALSE)</f>
        <v/>
      </c>
    </row>
    <row r="10418">
      <c r="A10418" t="inlineStr">
        <is>
          <t xml:space="preserve">stair </t>
        </is>
      </c>
      <c r="B10418">
        <f>VLOOKUP(2232,Requirements!A2:B2967,2,FALSE)</f>
        <v/>
      </c>
    </row>
    <row r="10419">
      <c r="A10419" t="inlineStr">
        <is>
          <t xml:space="preserve">stair </t>
        </is>
      </c>
      <c r="B10419">
        <f>VLOOKUP(2242,Requirements!A2:B2967,2,FALSE)</f>
        <v/>
      </c>
    </row>
    <row r="10420">
      <c r="A10420" t="inlineStr">
        <is>
          <t xml:space="preserve">stair </t>
        </is>
      </c>
      <c r="B10420">
        <f>VLOOKUP(2356,Requirements!A2:B2967,2,FALSE)</f>
        <v/>
      </c>
    </row>
    <row r="10421">
      <c r="A10421" t="inlineStr">
        <is>
          <t xml:space="preserve">stair </t>
        </is>
      </c>
      <c r="B10421">
        <f>VLOOKUP(2366,Requirements!A2:B2967,2,FALSE)</f>
        <v/>
      </c>
    </row>
    <row r="10422">
      <c r="A10422" t="inlineStr">
        <is>
          <t xml:space="preserve">stair </t>
        </is>
      </c>
      <c r="B10422">
        <f>VLOOKUP(2424,Requirements!A2:B2967,2,FALSE)</f>
        <v/>
      </c>
    </row>
    <row r="10423">
      <c r="A10423" t="inlineStr">
        <is>
          <t xml:space="preserve">stair </t>
        </is>
      </c>
      <c r="B10423">
        <f>VLOOKUP(2633,Requirements!A2:B2967,2,FALSE)</f>
        <v/>
      </c>
    </row>
    <row r="10424">
      <c r="A10424" t="inlineStr">
        <is>
          <t xml:space="preserve">stair </t>
        </is>
      </c>
      <c r="B10424">
        <f>VLOOKUP(3081,Requirements!A2:B2967,2,FALSE)</f>
        <v/>
      </c>
    </row>
    <row r="10425">
      <c r="A10425" t="inlineStr">
        <is>
          <t xml:space="preserve">stair </t>
        </is>
      </c>
      <c r="B10425">
        <f>VLOOKUP(3115,Requirements!A2:B2967,2,FALSE)</f>
        <v/>
      </c>
    </row>
    <row r="10426">
      <c r="A10426" t="inlineStr">
        <is>
          <t xml:space="preserve">stair </t>
        </is>
      </c>
      <c r="B10426">
        <f>VLOOKUP(3264,Requirements!A2:B2967,2,FALSE)</f>
        <v/>
      </c>
    </row>
    <row r="10427">
      <c r="A10427" t="inlineStr">
        <is>
          <t xml:space="preserve">automatic door </t>
        </is>
      </c>
      <c r="B10427">
        <f>VLOOKUP(1878,Requirements!A2:B2967,2,FALSE)</f>
        <v/>
      </c>
    </row>
    <row r="10428">
      <c r="A10428" t="inlineStr">
        <is>
          <t xml:space="preserve">automatic door </t>
        </is>
      </c>
      <c r="B10428">
        <f>VLOOKUP(1983,Requirements!A2:B2967,2,FALSE)</f>
        <v/>
      </c>
    </row>
    <row r="10429">
      <c r="A10429" t="inlineStr">
        <is>
          <t xml:space="preserve">automatic door </t>
        </is>
      </c>
      <c r="B10429">
        <f>VLOOKUP(2726,Requirements!A2:B2967,2,FALSE)</f>
        <v/>
      </c>
    </row>
    <row r="10430">
      <c r="A10430" t="inlineStr">
        <is>
          <t xml:space="preserve">automatic door </t>
        </is>
      </c>
      <c r="B10430">
        <f>VLOOKUP(2975,Requirements!A2:B2967,2,FALSE)</f>
        <v/>
      </c>
    </row>
    <row r="10431">
      <c r="A10431" t="inlineStr">
        <is>
          <t xml:space="preserve">automatic door </t>
        </is>
      </c>
      <c r="B10431">
        <f>VLOOKUP(3064,Requirements!A2:B2967,2,FALSE)</f>
        <v/>
      </c>
    </row>
    <row r="10432">
      <c r="A10432" t="inlineStr">
        <is>
          <t xml:space="preserve">fall </t>
        </is>
      </c>
      <c r="B10432">
        <f>VLOOKUP(2356,Requirements!A2:B2967,2,FALSE)</f>
        <v/>
      </c>
    </row>
    <row r="10433">
      <c r="A10433" t="inlineStr">
        <is>
          <t xml:space="preserve">fall </t>
        </is>
      </c>
      <c r="B10433">
        <f>VLOOKUP(2540,Requirements!A2:B2967,2,FALSE)</f>
        <v/>
      </c>
    </row>
    <row r="10434">
      <c r="A10434" t="inlineStr">
        <is>
          <t xml:space="preserve">fall </t>
        </is>
      </c>
      <c r="B10434">
        <f>VLOOKUP(2633,Requirements!A2:B2967,2,FALSE)</f>
        <v/>
      </c>
    </row>
    <row r="10435">
      <c r="A10435" t="inlineStr">
        <is>
          <t xml:space="preserve">fall </t>
        </is>
      </c>
      <c r="B10435">
        <f>VLOOKUP(2673,Requirements!A2:B2967,2,FALSE)</f>
        <v/>
      </c>
    </row>
    <row r="10436">
      <c r="A10436" t="inlineStr">
        <is>
          <t xml:space="preserve">fall </t>
        </is>
      </c>
      <c r="B10436">
        <f>VLOOKUP(2800,Requirements!A2:B2967,2,FALSE)</f>
        <v/>
      </c>
    </row>
    <row r="10437">
      <c r="A10437" t="inlineStr">
        <is>
          <t xml:space="preserve">dirty </t>
        </is>
      </c>
      <c r="B10437">
        <f>VLOOKUP(2421,Requirements!A2:B2967,2,FALSE)</f>
        <v/>
      </c>
    </row>
    <row r="10438">
      <c r="A10438" t="inlineStr">
        <is>
          <t xml:space="preserve">dirty </t>
        </is>
      </c>
      <c r="B10438">
        <f>VLOOKUP(2473,Requirements!A2:B2967,2,FALSE)</f>
        <v/>
      </c>
    </row>
    <row r="10439">
      <c r="A10439" t="inlineStr">
        <is>
          <t xml:space="preserve">dirty </t>
        </is>
      </c>
      <c r="B10439">
        <f>VLOOKUP(2600,Requirements!A2:B2967,2,FALSE)</f>
        <v/>
      </c>
    </row>
    <row r="10440">
      <c r="A10440" t="inlineStr">
        <is>
          <t xml:space="preserve">dirty </t>
        </is>
      </c>
      <c r="B10440">
        <f>VLOOKUP(3167,Requirements!A2:B2967,2,FALSE)</f>
        <v/>
      </c>
    </row>
    <row r="10441">
      <c r="A10441" t="inlineStr">
        <is>
          <t xml:space="preserve">dirty </t>
        </is>
      </c>
      <c r="B10441">
        <f>VLOOKUP(3252,Requirements!A2:B2967,2,FALSE)</f>
        <v/>
      </c>
    </row>
    <row r="10442">
      <c r="A10442" t="inlineStr">
        <is>
          <t xml:space="preserve">rural home occupant </t>
        </is>
      </c>
      <c r="B10442">
        <f>VLOOKUP(2778,Requirements!A2:B2967,2,FALSE)</f>
        <v/>
      </c>
    </row>
    <row r="10443">
      <c r="A10443" t="inlineStr">
        <is>
          <t xml:space="preserve">rural home occupant </t>
        </is>
      </c>
      <c r="B10443">
        <f>VLOOKUP(2779,Requirements!A2:B2967,2,FALSE)</f>
        <v/>
      </c>
    </row>
    <row r="10444">
      <c r="A10444" t="inlineStr">
        <is>
          <t xml:space="preserve">rural home occupant </t>
        </is>
      </c>
      <c r="B10444">
        <f>VLOOKUP(2782,Requirements!A2:B2967,2,FALSE)</f>
        <v/>
      </c>
    </row>
    <row r="10445">
      <c r="A10445" t="inlineStr">
        <is>
          <t xml:space="preserve">rural home occupant </t>
        </is>
      </c>
      <c r="B10445">
        <f>VLOOKUP(2784,Requirements!A2:B2967,2,FALSE)</f>
        <v/>
      </c>
    </row>
    <row r="10446">
      <c r="A10446" t="inlineStr">
        <is>
          <t xml:space="preserve">rural home occupant </t>
        </is>
      </c>
      <c r="B10446">
        <f>VLOOKUP(2786,Requirements!A2:B2967,2,FALSE)</f>
        <v/>
      </c>
    </row>
  </sheetData>
  <autoFilter ref="A1:B10447"/>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327"/>
  <sheetViews>
    <sheetView workbookViewId="0">
      <selection activeCell="A1" sqref="A1"/>
    </sheetView>
  </sheetViews>
  <sheetFormatPr baseColWidth="8" defaultRowHeight="15"/>
  <sheetData>
    <row r="1">
      <c r="A1" t="inlineStr">
        <is>
          <t>Glossary term</t>
        </is>
      </c>
      <c r="B1" t="inlineStr">
        <is>
          <t>Number of related requirements</t>
        </is>
      </c>
    </row>
    <row r="2">
      <c r="A2" t="inlineStr">
        <is>
          <t xml:space="preserve">home </t>
        </is>
      </c>
      <c r="B2" t="n">
        <v>767</v>
      </c>
    </row>
    <row r="3">
      <c r="A3" t="inlineStr">
        <is>
          <t xml:space="preserve">able </t>
        </is>
      </c>
      <c r="B3" t="n">
        <v>107</v>
      </c>
    </row>
    <row r="4">
      <c r="A4" t="inlineStr">
        <is>
          <t xml:space="preserve">dinner </t>
        </is>
      </c>
      <c r="B4" t="n">
        <v>14</v>
      </c>
    </row>
    <row r="5">
      <c r="A5" t="inlineStr">
        <is>
          <t xml:space="preserve">work </t>
        </is>
      </c>
      <c r="B5" t="n">
        <v>52</v>
      </c>
    </row>
    <row r="6">
      <c r="A6" t="inlineStr">
        <is>
          <t xml:space="preserve">home occupant </t>
        </is>
      </c>
      <c r="B6" t="n">
        <v>1088</v>
      </c>
    </row>
    <row r="7">
      <c r="A7" t="inlineStr">
        <is>
          <t xml:space="preserve">light </t>
        </is>
      </c>
      <c r="B7" t="n">
        <v>170</v>
      </c>
    </row>
    <row r="8">
      <c r="A8" t="inlineStr">
        <is>
          <t xml:space="preserve">house </t>
        </is>
      </c>
      <c r="B8" t="n">
        <v>355</v>
      </c>
    </row>
    <row r="9">
      <c r="A9" t="inlineStr">
        <is>
          <t xml:space="preserve">music </t>
        </is>
      </c>
      <c r="B9" t="n">
        <v>63</v>
      </c>
    </row>
    <row r="10">
      <c r="A10" t="inlineStr">
        <is>
          <t xml:space="preserve">mood </t>
        </is>
      </c>
      <c r="B10" t="n">
        <v>17</v>
      </c>
    </row>
    <row r="11">
      <c r="A11" t="inlineStr">
        <is>
          <t xml:space="preserve">fan </t>
        </is>
      </c>
      <c r="B11" t="n">
        <v>16</v>
      </c>
    </row>
    <row r="12">
      <c r="A12" t="inlineStr">
        <is>
          <t xml:space="preserve">favorite show </t>
        </is>
      </c>
      <c r="B12" t="n">
        <v>13</v>
      </c>
    </row>
    <row r="13">
      <c r="A13" t="inlineStr">
        <is>
          <t xml:space="preserve">minute </t>
        </is>
      </c>
      <c r="B13" t="n">
        <v>24</v>
      </c>
    </row>
    <row r="14">
      <c r="A14" t="inlineStr">
        <is>
          <t xml:space="preserve">late </t>
        </is>
      </c>
      <c r="B14" t="n">
        <v>12</v>
      </c>
    </row>
    <row r="15">
      <c r="A15" t="inlineStr">
        <is>
          <t xml:space="preserve">pet owner </t>
        </is>
      </c>
      <c r="B15" t="n">
        <v>138</v>
      </c>
    </row>
    <row r="16">
      <c r="A16" t="inlineStr">
        <is>
          <t xml:space="preserve">safe </t>
        </is>
      </c>
      <c r="B16" t="n">
        <v>95</v>
      </c>
    </row>
    <row r="17">
      <c r="A17" t="inlineStr">
        <is>
          <t xml:space="preserve">comfortable </t>
        </is>
      </c>
      <c r="B17" t="n">
        <v>32</v>
      </c>
    </row>
    <row r="18">
      <c r="A18" t="inlineStr">
        <is>
          <t xml:space="preserve">text </t>
        </is>
      </c>
      <c r="B18" t="n">
        <v>20</v>
      </c>
    </row>
    <row r="19">
      <c r="A19" t="inlineStr">
        <is>
          <t xml:space="preserve">school </t>
        </is>
      </c>
      <c r="B19" t="n">
        <v>19</v>
      </c>
    </row>
    <row r="20">
      <c r="A20" t="inlineStr">
        <is>
          <t xml:space="preserve">day </t>
        </is>
      </c>
      <c r="B20" t="n">
        <v>92</v>
      </c>
    </row>
    <row r="21">
      <c r="A21" t="inlineStr">
        <is>
          <t xml:space="preserve">parent </t>
        </is>
      </c>
      <c r="B21" t="n">
        <v>333</v>
      </c>
    </row>
    <row r="22">
      <c r="A22" t="inlineStr">
        <is>
          <t xml:space="preserve">date </t>
        </is>
      </c>
      <c r="B22" t="n">
        <v>11</v>
      </c>
    </row>
    <row r="23">
      <c r="A23" t="inlineStr">
        <is>
          <t xml:space="preserve">kid </t>
        </is>
      </c>
      <c r="B23" t="n">
        <v>71</v>
      </c>
    </row>
    <row r="24">
      <c r="A24" t="inlineStr">
        <is>
          <t xml:space="preserve">thing </t>
        </is>
      </c>
      <c r="B24" t="n">
        <v>61</v>
      </c>
    </row>
    <row r="25">
      <c r="A25" t="inlineStr">
        <is>
          <t xml:space="preserve">food </t>
        </is>
      </c>
      <c r="B25" t="n">
        <v>108</v>
      </c>
    </row>
    <row r="26">
      <c r="A26" t="inlineStr">
        <is>
          <t xml:space="preserve">tv </t>
        </is>
      </c>
      <c r="B26" t="n">
        <v>35</v>
      </c>
    </row>
    <row r="27">
      <c r="A27" t="inlineStr">
        <is>
          <t xml:space="preserve">morning </t>
        </is>
      </c>
      <c r="B27" t="n">
        <v>40</v>
      </c>
    </row>
    <row r="28">
      <c r="A28" t="inlineStr">
        <is>
          <t xml:space="preserve">time </t>
        </is>
      </c>
      <c r="B28" t="n">
        <v>245</v>
      </c>
    </row>
    <row r="29">
      <c r="A29" t="inlineStr">
        <is>
          <t xml:space="preserve">wake </t>
        </is>
      </c>
      <c r="B29" t="n">
        <v>52</v>
      </c>
    </row>
    <row r="30">
      <c r="A30" t="inlineStr">
        <is>
          <t xml:space="preserve">amount </t>
        </is>
      </c>
      <c r="B30" t="n">
        <v>32</v>
      </c>
    </row>
    <row r="31">
      <c r="A31" t="inlineStr">
        <is>
          <t xml:space="preserve">door </t>
        </is>
      </c>
      <c r="B31" t="n">
        <v>175</v>
      </c>
    </row>
    <row r="32">
      <c r="A32" t="inlineStr">
        <is>
          <t xml:space="preserve">night </t>
        </is>
      </c>
      <c r="B32" t="n">
        <v>77</v>
      </c>
    </row>
    <row r="33">
      <c r="A33" t="inlineStr">
        <is>
          <t xml:space="preserve">ready </t>
        </is>
      </c>
      <c r="B33" t="n">
        <v>32</v>
      </c>
    </row>
    <row r="34">
      <c r="A34" t="inlineStr">
        <is>
          <t xml:space="preserve">music fan </t>
        </is>
      </c>
      <c r="B34" t="n">
        <v>5</v>
      </c>
    </row>
    <row r="35">
      <c r="A35" t="inlineStr">
        <is>
          <t xml:space="preserve">available </t>
        </is>
      </c>
      <c r="B35" t="n">
        <v>12</v>
      </c>
    </row>
    <row r="36">
      <c r="A36" t="inlineStr">
        <is>
          <t xml:space="preserve">temperature </t>
        </is>
      </c>
      <c r="B36" t="n">
        <v>116</v>
      </c>
    </row>
    <row r="37">
      <c r="A37" t="inlineStr">
        <is>
          <t xml:space="preserve">weather </t>
        </is>
      </c>
      <c r="B37" t="n">
        <v>30</v>
      </c>
    </row>
    <row r="38">
      <c r="A38" t="inlineStr">
        <is>
          <t xml:space="preserve">energy bill </t>
        </is>
      </c>
      <c r="B38" t="n">
        <v>9</v>
      </c>
    </row>
    <row r="39">
      <c r="A39" t="inlineStr">
        <is>
          <t xml:space="preserve">driver </t>
        </is>
      </c>
      <c r="B39" t="n">
        <v>6</v>
      </c>
    </row>
    <row r="40">
      <c r="A40" t="inlineStr">
        <is>
          <t xml:space="preserve">garage door </t>
        </is>
      </c>
      <c r="B40" t="n">
        <v>19</v>
      </c>
    </row>
    <row r="41">
      <c r="A41" t="inlineStr">
        <is>
          <t xml:space="preserve">sens </t>
        </is>
      </c>
      <c r="B41" t="n">
        <v>16</v>
      </c>
    </row>
    <row r="42">
      <c r="A42" t="inlineStr">
        <is>
          <t xml:space="preserve">vehicle </t>
        </is>
      </c>
      <c r="B42" t="n">
        <v>11</v>
      </c>
    </row>
    <row r="43">
      <c r="A43" t="inlineStr">
        <is>
          <t xml:space="preserve">outside </t>
        </is>
      </c>
      <c r="B43" t="n">
        <v>42</v>
      </c>
    </row>
    <row r="44">
      <c r="A44" t="inlineStr">
        <is>
          <t xml:space="preserve">control </t>
        </is>
      </c>
      <c r="B44" t="n">
        <v>30</v>
      </c>
    </row>
    <row r="45">
      <c r="A45" t="inlineStr">
        <is>
          <t xml:space="preserve">nobody </t>
        </is>
      </c>
      <c r="B45" t="n">
        <v>11</v>
      </c>
    </row>
    <row r="46">
      <c r="A46" t="inlineStr">
        <is>
          <t xml:space="preserve">electricity </t>
        </is>
      </c>
      <c r="B46" t="n">
        <v>52</v>
      </c>
    </row>
    <row r="47">
      <c r="A47" t="inlineStr">
        <is>
          <t xml:space="preserve">bill </t>
        </is>
      </c>
      <c r="B47" t="n">
        <v>19</v>
      </c>
    </row>
    <row r="48">
      <c r="A48" t="inlineStr">
        <is>
          <t xml:space="preserve">auto </t>
        </is>
      </c>
      <c r="B48" t="n">
        <v>16</v>
      </c>
    </row>
    <row r="49">
      <c r="A49" t="inlineStr">
        <is>
          <t xml:space="preserve">plant </t>
        </is>
      </c>
      <c r="B49" t="n">
        <v>25</v>
      </c>
    </row>
    <row r="50">
      <c r="A50" t="inlineStr">
        <is>
          <t xml:space="preserve">home owner </t>
        </is>
      </c>
      <c r="B50" t="n">
        <v>621</v>
      </c>
    </row>
    <row r="51">
      <c r="A51" t="inlineStr">
        <is>
          <t xml:space="preserve">monitor </t>
        </is>
      </c>
      <c r="B51" t="n">
        <v>72</v>
      </c>
    </row>
    <row r="52">
      <c r="A52" t="inlineStr">
        <is>
          <t xml:space="preserve">energy use </t>
        </is>
      </c>
      <c r="B52" t="n">
        <v>6</v>
      </c>
    </row>
    <row r="53">
      <c r="A53" t="inlineStr">
        <is>
          <t xml:space="preserve">energy consumption </t>
        </is>
      </c>
      <c r="B53" t="n">
        <v>9</v>
      </c>
    </row>
    <row r="54">
      <c r="A54" t="inlineStr">
        <is>
          <t xml:space="preserve">money </t>
        </is>
      </c>
      <c r="B54" t="n">
        <v>67</v>
      </c>
    </row>
    <row r="55">
      <c r="A55" t="inlineStr">
        <is>
          <t xml:space="preserve">energy </t>
        </is>
      </c>
      <c r="B55" t="n">
        <v>165</v>
      </c>
    </row>
    <row r="56">
      <c r="A56" t="inlineStr">
        <is>
          <t xml:space="preserve">sure </t>
        </is>
      </c>
      <c r="B56" t="n">
        <v>28</v>
      </c>
    </row>
    <row r="57">
      <c r="A57" t="inlineStr">
        <is>
          <t xml:space="preserve">case </t>
        </is>
      </c>
      <c r="B57" t="n">
        <v>23</v>
      </c>
    </row>
    <row r="58">
      <c r="A58" t="inlineStr">
        <is>
          <t xml:space="preserve">baby </t>
        </is>
      </c>
      <c r="B58" t="n">
        <v>20</v>
      </c>
    </row>
    <row r="59">
      <c r="A59" t="inlineStr">
        <is>
          <t xml:space="preserve">anything </t>
        </is>
      </c>
      <c r="B59" t="n">
        <v>27</v>
      </c>
    </row>
    <row r="60">
      <c r="A60" t="inlineStr">
        <is>
          <t xml:space="preserve">electricity bill </t>
        </is>
      </c>
      <c r="B60" t="n">
        <v>7</v>
      </c>
    </row>
    <row r="61">
      <c r="A61" t="inlineStr">
        <is>
          <t xml:space="preserve">family member </t>
        </is>
      </c>
      <c r="B61" t="n">
        <v>14</v>
      </c>
    </row>
    <row r="62">
      <c r="A62" t="inlineStr">
        <is>
          <t xml:space="preserve">pet </t>
        </is>
      </c>
      <c r="B62" t="n">
        <v>45</v>
      </c>
    </row>
    <row r="63">
      <c r="A63" t="inlineStr">
        <is>
          <t xml:space="preserve">someone </t>
        </is>
      </c>
      <c r="B63" t="n">
        <v>90</v>
      </c>
    </row>
    <row r="64">
      <c r="A64" t="inlineStr">
        <is>
          <t xml:space="preserve">family </t>
        </is>
      </c>
      <c r="B64" t="n">
        <v>53</v>
      </c>
    </row>
    <row r="65">
      <c r="A65" t="inlineStr">
        <is>
          <t xml:space="preserve">best </t>
        </is>
      </c>
      <c r="B65" t="n">
        <v>7</v>
      </c>
    </row>
    <row r="66">
      <c r="A66" t="inlineStr">
        <is>
          <t xml:space="preserve">space </t>
        </is>
      </c>
      <c r="B66" t="n">
        <v>5</v>
      </c>
    </row>
    <row r="67">
      <c r="A67" t="inlineStr">
        <is>
          <t xml:space="preserve">cold </t>
        </is>
      </c>
      <c r="B67" t="n">
        <v>28</v>
      </c>
    </row>
    <row r="68">
      <c r="A68" t="inlineStr">
        <is>
          <t xml:space="preserve">motion </t>
        </is>
      </c>
      <c r="B68" t="n">
        <v>33</v>
      </c>
    </row>
    <row r="69">
      <c r="A69" t="inlineStr">
        <is>
          <t xml:space="preserve">safety </t>
        </is>
      </c>
      <c r="B69" t="n">
        <v>25</v>
      </c>
    </row>
    <row r="70">
      <c r="A70" t="inlineStr">
        <is>
          <t xml:space="preserve">box </t>
        </is>
      </c>
      <c r="B70" t="n">
        <v>12</v>
      </c>
    </row>
    <row r="71">
      <c r="A71" t="inlineStr">
        <is>
          <t xml:space="preserve">automatic </t>
        </is>
      </c>
      <c r="B71" t="n">
        <v>53</v>
      </c>
    </row>
    <row r="72">
      <c r="A72" t="inlineStr">
        <is>
          <t xml:space="preserve">bad </t>
        </is>
      </c>
      <c r="B72" t="n">
        <v>15</v>
      </c>
    </row>
    <row r="73">
      <c r="A73" t="inlineStr">
        <is>
          <t xml:space="preserve">cool </t>
        </is>
      </c>
      <c r="B73" t="n">
        <v>17</v>
      </c>
    </row>
    <row r="74">
      <c r="A74" t="inlineStr">
        <is>
          <t xml:space="preserve">air </t>
        </is>
      </c>
      <c r="B74" t="n">
        <v>50</v>
      </c>
    </row>
    <row r="75">
      <c r="A75" t="inlineStr">
        <is>
          <t xml:space="preserve">hot </t>
        </is>
      </c>
      <c r="B75" t="n">
        <v>18</v>
      </c>
    </row>
    <row r="76">
      <c r="A76" t="inlineStr">
        <is>
          <t xml:space="preserve">child </t>
        </is>
      </c>
      <c r="B76" t="n">
        <v>146</v>
      </c>
    </row>
    <row r="77">
      <c r="A77" t="inlineStr">
        <is>
          <t xml:space="preserve">place </t>
        </is>
      </c>
      <c r="B77" t="n">
        <v>20</v>
      </c>
    </row>
    <row r="78">
      <c r="A78" t="inlineStr">
        <is>
          <t xml:space="preserve">potential </t>
        </is>
      </c>
      <c r="B78" t="n">
        <v>7</v>
      </c>
    </row>
    <row r="79">
      <c r="A79" t="inlineStr">
        <is>
          <t xml:space="preserve">appliance </t>
        </is>
      </c>
      <c r="B79" t="n">
        <v>51</v>
      </c>
    </row>
    <row r="80">
      <c r="A80" t="inlineStr">
        <is>
          <t xml:space="preserve">anyone </t>
        </is>
      </c>
      <c r="B80" t="n">
        <v>19</v>
      </c>
    </row>
    <row r="81">
      <c r="A81" t="inlineStr">
        <is>
          <t xml:space="preserve">person </t>
        </is>
      </c>
      <c r="B81" t="n">
        <v>130</v>
      </c>
    </row>
    <row r="82">
      <c r="A82" t="inlineStr">
        <is>
          <t xml:space="preserve">low </t>
        </is>
      </c>
      <c r="B82" t="n">
        <v>40</v>
      </c>
    </row>
    <row r="83">
      <c r="A83" t="inlineStr">
        <is>
          <t xml:space="preserve">care </t>
        </is>
      </c>
      <c r="B83" t="n">
        <v>18</v>
      </c>
    </row>
    <row r="84">
      <c r="A84" t="inlineStr">
        <is>
          <t xml:space="preserve">area </t>
        </is>
      </c>
      <c r="B84" t="n">
        <v>26</v>
      </c>
    </row>
    <row r="85">
      <c r="A85" t="inlineStr">
        <is>
          <t xml:space="preserve">snow </t>
        </is>
      </c>
      <c r="B85" t="n">
        <v>6</v>
      </c>
    </row>
    <row r="86">
      <c r="A86" t="inlineStr">
        <is>
          <t xml:space="preserve">high </t>
        </is>
      </c>
      <c r="B86" t="n">
        <v>17</v>
      </c>
    </row>
    <row r="87">
      <c r="A87" t="inlineStr">
        <is>
          <t xml:space="preserve">camera </t>
        </is>
      </c>
      <c r="B87" t="n">
        <v>12</v>
      </c>
    </row>
    <row r="88">
      <c r="A88" t="inlineStr">
        <is>
          <t xml:space="preserve">consumer </t>
        </is>
      </c>
      <c r="B88" t="n">
        <v>16</v>
      </c>
    </row>
    <row r="89">
      <c r="A89" t="inlineStr">
        <is>
          <t xml:space="preserve">news </t>
        </is>
      </c>
      <c r="B89" t="n">
        <v>11</v>
      </c>
    </row>
    <row r="90">
      <c r="A90" t="inlineStr">
        <is>
          <t xml:space="preserve">dry </t>
        </is>
      </c>
      <c r="B90" t="n">
        <v>15</v>
      </c>
    </row>
    <row r="91">
      <c r="A91" t="inlineStr">
        <is>
          <t xml:space="preserve">new </t>
        </is>
      </c>
      <c r="B91" t="n">
        <v>12</v>
      </c>
    </row>
    <row r="92">
      <c r="A92" t="inlineStr">
        <is>
          <t xml:space="preserve">feature </t>
        </is>
      </c>
      <c r="B92" t="n">
        <v>44</v>
      </c>
    </row>
    <row r="93">
      <c r="A93" t="inlineStr">
        <is>
          <t xml:space="preserve">comfort </t>
        </is>
      </c>
      <c r="B93" t="n">
        <v>7</v>
      </c>
    </row>
    <row r="94">
      <c r="A94" t="inlineStr">
        <is>
          <t xml:space="preserve">healthy </t>
        </is>
      </c>
      <c r="B94" t="n">
        <v>32</v>
      </c>
    </row>
    <row r="95">
      <c r="A95" t="inlineStr">
        <is>
          <t xml:space="preserve">body </t>
        </is>
      </c>
      <c r="B95" t="n">
        <v>10</v>
      </c>
    </row>
    <row r="96">
      <c r="A96" t="inlineStr">
        <is>
          <t xml:space="preserve">daily </t>
        </is>
      </c>
      <c r="B96" t="n">
        <v>12</v>
      </c>
    </row>
    <row r="97">
      <c r="A97" t="inlineStr">
        <is>
          <t xml:space="preserve">gas </t>
        </is>
      </c>
      <c r="B97" t="n">
        <v>15</v>
      </c>
    </row>
    <row r="98">
      <c r="A98" t="inlineStr">
        <is>
          <t xml:space="preserve">activity </t>
        </is>
      </c>
      <c r="B98" t="n">
        <v>15</v>
      </c>
    </row>
    <row r="99">
      <c r="A99" t="inlineStr">
        <is>
          <t xml:space="preserve">nice </t>
        </is>
      </c>
      <c r="B99" t="n">
        <v>11</v>
      </c>
    </row>
    <row r="100">
      <c r="A100" t="inlineStr">
        <is>
          <t xml:space="preserve">health </t>
        </is>
      </c>
      <c r="B100" t="n">
        <v>41</v>
      </c>
    </row>
    <row r="101">
      <c r="A101" t="inlineStr">
        <is>
          <t xml:space="preserve">window </t>
        </is>
      </c>
      <c r="B101" t="n">
        <v>32</v>
      </c>
    </row>
    <row r="102">
      <c r="A102" t="inlineStr">
        <is>
          <t xml:space="preserve">police </t>
        </is>
      </c>
      <c r="B102" t="n">
        <v>14</v>
      </c>
    </row>
    <row r="103">
      <c r="A103" t="inlineStr">
        <is>
          <t xml:space="preserve">ability </t>
        </is>
      </c>
      <c r="B103" t="n">
        <v>18</v>
      </c>
    </row>
    <row r="104">
      <c r="A104" t="inlineStr">
        <is>
          <t xml:space="preserve">party </t>
        </is>
      </c>
      <c r="B104" t="n">
        <v>7</v>
      </c>
    </row>
    <row r="105">
      <c r="A105" t="inlineStr">
        <is>
          <t xml:space="preserve">garage </t>
        </is>
      </c>
      <c r="B105" t="n">
        <v>13</v>
      </c>
    </row>
    <row r="106">
      <c r="A106" t="inlineStr">
        <is>
          <t xml:space="preserve">sound </t>
        </is>
      </c>
      <c r="B106" t="n">
        <v>26</v>
      </c>
    </row>
    <row r="107">
      <c r="A107" t="inlineStr">
        <is>
          <t xml:space="preserve">emergency </t>
        </is>
      </c>
      <c r="B107" t="n">
        <v>14</v>
      </c>
    </row>
    <row r="108">
      <c r="A108" t="inlineStr">
        <is>
          <t xml:space="preserve">active </t>
        </is>
      </c>
      <c r="B108" t="n">
        <v>8</v>
      </c>
    </row>
    <row r="109">
      <c r="A109" t="inlineStr">
        <is>
          <t xml:space="preserve">movie </t>
        </is>
      </c>
      <c r="B109" t="n">
        <v>24</v>
      </c>
    </row>
    <row r="110">
      <c r="A110" t="inlineStr">
        <is>
          <t xml:space="preserve">inside </t>
        </is>
      </c>
      <c r="B110" t="n">
        <v>35</v>
      </c>
    </row>
    <row r="111">
      <c r="A111" t="inlineStr">
        <is>
          <t xml:space="preserve">environment </t>
        </is>
      </c>
      <c r="B111" t="n">
        <v>8</v>
      </c>
    </row>
    <row r="112">
      <c r="A112" t="inlineStr">
        <is>
          <t xml:space="preserve">type </t>
        </is>
      </c>
      <c r="B112" t="n">
        <v>7</v>
      </c>
    </row>
    <row r="113">
      <c r="A113" t="inlineStr">
        <is>
          <t xml:space="preserve">floor </t>
        </is>
      </c>
      <c r="B113" t="n">
        <v>42</v>
      </c>
    </row>
    <row r="114">
      <c r="A114" t="inlineStr">
        <is>
          <t xml:space="preserve">music lover </t>
        </is>
      </c>
      <c r="B114" t="n">
        <v>22</v>
      </c>
    </row>
    <row r="115">
      <c r="A115" t="inlineStr">
        <is>
          <t xml:space="preserve">people </t>
        </is>
      </c>
      <c r="B115" t="n">
        <v>40</v>
      </c>
    </row>
    <row r="116">
      <c r="A116" t="inlineStr">
        <is>
          <t xml:space="preserve">use </t>
        </is>
      </c>
      <c r="B116" t="n">
        <v>26</v>
      </c>
    </row>
    <row r="117">
      <c r="A117" t="inlineStr">
        <is>
          <t xml:space="preserve">coffee machine </t>
        </is>
      </c>
      <c r="B117" t="n">
        <v>6</v>
      </c>
    </row>
    <row r="118">
      <c r="A118" t="inlineStr">
        <is>
          <t xml:space="preserve">coffee </t>
        </is>
      </c>
      <c r="B118" t="n">
        <v>27</v>
      </c>
    </row>
    <row r="119">
      <c r="A119" t="inlineStr">
        <is>
          <t xml:space="preserve">water </t>
        </is>
      </c>
      <c r="B119" t="n">
        <v>149</v>
      </c>
    </row>
    <row r="120">
      <c r="A120" t="inlineStr">
        <is>
          <t xml:space="preserve">schedule </t>
        </is>
      </c>
      <c r="B120" t="n">
        <v>12</v>
      </c>
    </row>
    <row r="121">
      <c r="A121" t="inlineStr">
        <is>
          <t xml:space="preserve">system </t>
        </is>
      </c>
      <c r="B121" t="n">
        <v>75</v>
      </c>
    </row>
    <row r="122">
      <c r="A122" t="inlineStr">
        <is>
          <t xml:space="preserve">need </t>
        </is>
      </c>
      <c r="B122" t="n">
        <v>22</v>
      </c>
    </row>
    <row r="123">
      <c r="A123" t="inlineStr">
        <is>
          <t xml:space="preserve">possible </t>
        </is>
      </c>
      <c r="B123" t="n">
        <v>17</v>
      </c>
    </row>
    <row r="124">
      <c r="A124" t="inlineStr">
        <is>
          <t xml:space="preserve">carbon </t>
        </is>
      </c>
      <c r="B124" t="n">
        <v>19</v>
      </c>
    </row>
    <row r="125">
      <c r="A125" t="inlineStr">
        <is>
          <t xml:space="preserve">close </t>
        </is>
      </c>
      <c r="B125" t="n">
        <v>21</v>
      </c>
    </row>
    <row r="126">
      <c r="A126" t="inlineStr">
        <is>
          <t xml:space="preserve">show </t>
        </is>
      </c>
      <c r="B126" t="n">
        <v>20</v>
      </c>
    </row>
    <row r="127">
      <c r="A127" t="inlineStr">
        <is>
          <t xml:space="preserve">lover </t>
        </is>
      </c>
      <c r="B127" t="n">
        <v>7</v>
      </c>
    </row>
    <row r="128">
      <c r="A128" t="inlineStr">
        <is>
          <t xml:space="preserve">device </t>
        </is>
      </c>
      <c r="B128" t="n">
        <v>70</v>
      </c>
    </row>
    <row r="129">
      <c r="A129" t="inlineStr">
        <is>
          <t xml:space="preserve">item </t>
        </is>
      </c>
      <c r="B129" t="n">
        <v>37</v>
      </c>
    </row>
    <row r="130">
      <c r="A130" t="inlineStr">
        <is>
          <t xml:space="preserve">location </t>
        </is>
      </c>
      <c r="B130" t="n">
        <v>9</v>
      </c>
    </row>
    <row r="131">
      <c r="A131" t="inlineStr">
        <is>
          <t xml:space="preserve">energy cost </t>
        </is>
      </c>
      <c r="B131" t="n">
        <v>10</v>
      </c>
    </row>
    <row r="132">
      <c r="A132" t="inlineStr">
        <is>
          <t xml:space="preserve">energy efficient </t>
        </is>
      </c>
      <c r="B132" t="n">
        <v>7</v>
      </c>
    </row>
    <row r="133">
      <c r="A133" t="inlineStr">
        <is>
          <t xml:space="preserve">fire </t>
        </is>
      </c>
      <c r="B133" t="n">
        <v>34</v>
      </c>
    </row>
    <row r="134">
      <c r="A134" t="inlineStr">
        <is>
          <t xml:space="preserve">easier </t>
        </is>
      </c>
      <c r="B134" t="n">
        <v>10</v>
      </c>
    </row>
    <row r="135">
      <c r="A135" t="inlineStr">
        <is>
          <t xml:space="preserve">alert </t>
        </is>
      </c>
      <c r="B135" t="n">
        <v>190</v>
      </c>
    </row>
    <row r="136">
      <c r="A136" t="inlineStr">
        <is>
          <t xml:space="preserve">specific sound </t>
        </is>
      </c>
      <c r="B136" t="n">
        <v>6</v>
      </c>
    </row>
    <row r="137">
      <c r="A137" t="inlineStr">
        <is>
          <t xml:space="preserve">text message </t>
        </is>
      </c>
      <c r="B137" t="n">
        <v>16</v>
      </c>
    </row>
    <row r="138">
      <c r="A138" t="inlineStr">
        <is>
          <t xml:space="preserve">mobile phone </t>
        </is>
      </c>
      <c r="B138" t="n">
        <v>8</v>
      </c>
    </row>
    <row r="139">
      <c r="A139" t="inlineStr">
        <is>
          <t xml:space="preserve">car </t>
        </is>
      </c>
      <c r="B139" t="n">
        <v>25</v>
      </c>
    </row>
    <row r="140">
      <c r="A140" t="inlineStr">
        <is>
          <t xml:space="preserve">guest </t>
        </is>
      </c>
      <c r="B140" t="n">
        <v>15</v>
      </c>
    </row>
    <row r="141">
      <c r="A141" t="inlineStr">
        <is>
          <t xml:space="preserve">security </t>
        </is>
      </c>
      <c r="B141" t="n">
        <v>13</v>
      </c>
    </row>
    <row r="142">
      <c r="A142" t="inlineStr">
        <is>
          <t xml:space="preserve">property </t>
        </is>
      </c>
      <c r="B142" t="n">
        <v>10</v>
      </c>
    </row>
    <row r="143">
      <c r="A143" t="inlineStr">
        <is>
          <t xml:space="preserve">key </t>
        </is>
      </c>
      <c r="B143" t="n">
        <v>13</v>
      </c>
    </row>
    <row r="144">
      <c r="A144" t="inlineStr">
        <is>
          <t xml:space="preserve">aware </t>
        </is>
      </c>
      <c r="B144" t="n">
        <v>35</v>
      </c>
    </row>
    <row r="145">
      <c r="A145" t="inlineStr">
        <is>
          <t xml:space="preserve">open </t>
        </is>
      </c>
      <c r="B145" t="n">
        <v>45</v>
      </c>
    </row>
    <row r="146">
      <c r="A146" t="inlineStr">
        <is>
          <t xml:space="preserve">electronics </t>
        </is>
      </c>
      <c r="B146" t="n">
        <v>20</v>
      </c>
    </row>
    <row r="147">
      <c r="A147" t="inlineStr">
        <is>
          <t xml:space="preserve">easy </t>
        </is>
      </c>
      <c r="B147" t="n">
        <v>9</v>
      </c>
    </row>
    <row r="148">
      <c r="A148" t="inlineStr">
        <is>
          <t xml:space="preserve">lower </t>
        </is>
      </c>
      <c r="B148" t="n">
        <v>12</v>
      </c>
    </row>
    <row r="149">
      <c r="A149" t="inlineStr">
        <is>
          <t xml:space="preserve">turn </t>
        </is>
      </c>
      <c r="B149" t="n">
        <v>12</v>
      </c>
    </row>
    <row r="150">
      <c r="A150" t="inlineStr">
        <is>
          <t xml:space="preserve">dark </t>
        </is>
      </c>
      <c r="B150" t="n">
        <v>12</v>
      </c>
    </row>
    <row r="151">
      <c r="A151" t="inlineStr">
        <is>
          <t xml:space="preserve">game </t>
        </is>
      </c>
      <c r="B151" t="n">
        <v>19</v>
      </c>
    </row>
    <row r="152">
      <c r="A152" t="inlineStr">
        <is>
          <t xml:space="preserve">meal </t>
        </is>
      </c>
      <c r="B152" t="n">
        <v>15</v>
      </c>
    </row>
    <row r="153">
      <c r="A153" t="inlineStr">
        <is>
          <t xml:space="preserve">occupant </t>
        </is>
      </c>
      <c r="B153" t="n">
        <v>37</v>
      </c>
    </row>
    <row r="154">
      <c r="A154" t="inlineStr">
        <is>
          <t xml:space="preserve">moment </t>
        </is>
      </c>
      <c r="B154" t="n">
        <v>6</v>
      </c>
    </row>
    <row r="155">
      <c r="A155" t="inlineStr">
        <is>
          <t xml:space="preserve">movie lover </t>
        </is>
      </c>
      <c r="B155" t="n">
        <v>5</v>
      </c>
    </row>
    <row r="156">
      <c r="A156" t="inlineStr">
        <is>
          <t xml:space="preserve">favorite music </t>
        </is>
      </c>
      <c r="B156" t="n">
        <v>5</v>
      </c>
    </row>
    <row r="157">
      <c r="A157" t="inlineStr">
        <is>
          <t xml:space="preserve">different </t>
        </is>
      </c>
      <c r="B157" t="n">
        <v>18</v>
      </c>
    </row>
    <row r="158">
      <c r="A158" t="inlineStr">
        <is>
          <t xml:space="preserve">voice </t>
        </is>
      </c>
      <c r="B158" t="n">
        <v>67</v>
      </c>
    </row>
    <row r="159">
      <c r="A159" t="inlineStr">
        <is>
          <t xml:space="preserve">exit </t>
        </is>
      </c>
      <c r="B159" t="n">
        <v>5</v>
      </c>
    </row>
    <row r="160">
      <c r="A160" t="inlineStr">
        <is>
          <t xml:space="preserve">life </t>
        </is>
      </c>
      <c r="B160" t="n">
        <v>13</v>
      </c>
    </row>
    <row r="161">
      <c r="A161" t="inlineStr">
        <is>
          <t xml:space="preserve">dust </t>
        </is>
      </c>
      <c r="B161" t="n">
        <v>7</v>
      </c>
    </row>
    <row r="162">
      <c r="A162" t="inlineStr">
        <is>
          <t xml:space="preserve">fresh air </t>
        </is>
      </c>
      <c r="B162" t="n">
        <v>8</v>
      </c>
    </row>
    <row r="163">
      <c r="A163" t="inlineStr">
        <is>
          <t xml:space="preserve">early </t>
        </is>
      </c>
      <c r="B163" t="n">
        <v>6</v>
      </c>
    </row>
    <row r="164">
      <c r="A164" t="inlineStr">
        <is>
          <t xml:space="preserve">picture </t>
        </is>
      </c>
      <c r="B164" t="n">
        <v>6</v>
      </c>
    </row>
    <row r="165">
      <c r="A165" t="inlineStr">
        <is>
          <t xml:space="preserve">electric </t>
        </is>
      </c>
      <c r="B165" t="n">
        <v>10</v>
      </c>
    </row>
    <row r="166">
      <c r="A166" t="inlineStr">
        <is>
          <t xml:space="preserve">foot </t>
        </is>
      </c>
      <c r="B166" t="n">
        <v>8</v>
      </c>
    </row>
    <row r="167">
      <c r="A167" t="inlineStr">
        <is>
          <t xml:space="preserve">electronic device </t>
        </is>
      </c>
      <c r="B167" t="n">
        <v>7</v>
      </c>
    </row>
    <row r="168">
      <c r="A168" t="inlineStr">
        <is>
          <t xml:space="preserve">sense </t>
        </is>
      </c>
      <c r="B168" t="n">
        <v>35</v>
      </c>
    </row>
    <row r="169">
      <c r="A169" t="inlineStr">
        <is>
          <t xml:space="preserve">small </t>
        </is>
      </c>
      <c r="B169" t="n">
        <v>10</v>
      </c>
    </row>
    <row r="170">
      <c r="A170" t="inlineStr">
        <is>
          <t xml:space="preserve">package </t>
        </is>
      </c>
      <c r="B170" t="n">
        <v>13</v>
      </c>
    </row>
    <row r="171">
      <c r="A171" t="inlineStr">
        <is>
          <t xml:space="preserve">wife </t>
        </is>
      </c>
      <c r="B171" t="n">
        <v>18</v>
      </c>
    </row>
    <row r="172">
      <c r="A172" t="inlineStr">
        <is>
          <t xml:space="preserve">help </t>
        </is>
      </c>
      <c r="B172" t="n">
        <v>14</v>
      </c>
    </row>
    <row r="173">
      <c r="A173" t="inlineStr">
        <is>
          <t xml:space="preserve">smoke </t>
        </is>
      </c>
      <c r="B173" t="n">
        <v>32</v>
      </c>
    </row>
    <row r="174">
      <c r="A174" t="inlineStr">
        <is>
          <t xml:space="preserve">front </t>
        </is>
      </c>
      <c r="B174" t="n">
        <v>16</v>
      </c>
    </row>
    <row r="175">
      <c r="A175" t="inlineStr">
        <is>
          <t xml:space="preserve">approach </t>
        </is>
      </c>
      <c r="B175" t="n">
        <v>6</v>
      </c>
    </row>
    <row r="176">
      <c r="A176" t="inlineStr">
        <is>
          <t xml:space="preserve">message </t>
        </is>
      </c>
      <c r="B176" t="n">
        <v>6</v>
      </c>
    </row>
    <row r="177">
      <c r="A177" t="inlineStr">
        <is>
          <t xml:space="preserve">station </t>
        </is>
      </c>
      <c r="B177" t="n">
        <v>5</v>
      </c>
    </row>
    <row r="178">
      <c r="A178" t="inlineStr">
        <is>
          <t xml:space="preserve">empty </t>
        </is>
      </c>
      <c r="B178" t="n">
        <v>16</v>
      </c>
    </row>
    <row r="179">
      <c r="A179" t="inlineStr">
        <is>
          <t xml:space="preserve">radio </t>
        </is>
      </c>
      <c r="B179" t="n">
        <v>6</v>
      </c>
    </row>
    <row r="180">
      <c r="A180" t="inlineStr">
        <is>
          <t xml:space="preserve">specific </t>
        </is>
      </c>
      <c r="B180" t="n">
        <v>8</v>
      </c>
    </row>
    <row r="181">
      <c r="A181" t="inlineStr">
        <is>
          <t xml:space="preserve">clock </t>
        </is>
      </c>
      <c r="B181" t="n">
        <v>11</v>
      </c>
    </row>
    <row r="182">
      <c r="A182" t="inlineStr">
        <is>
          <t xml:space="preserve">movement </t>
        </is>
      </c>
      <c r="B182" t="n">
        <v>24</v>
      </c>
    </row>
    <row r="183">
      <c r="A183" t="inlineStr">
        <is>
          <t xml:space="preserve">owner </t>
        </is>
      </c>
      <c r="B183" t="n">
        <v>34</v>
      </c>
    </row>
    <row r="184">
      <c r="A184" t="inlineStr">
        <is>
          <t xml:space="preserve">call </t>
        </is>
      </c>
      <c r="B184" t="n">
        <v>8</v>
      </c>
    </row>
    <row r="185">
      <c r="A185" t="inlineStr">
        <is>
          <t xml:space="preserve">mother </t>
        </is>
      </c>
      <c r="B185" t="n">
        <v>31</v>
      </c>
    </row>
    <row r="186">
      <c r="A186" t="inlineStr">
        <is>
          <t xml:space="preserve">son </t>
        </is>
      </c>
      <c r="B186" t="n">
        <v>10</v>
      </c>
    </row>
    <row r="187">
      <c r="A187" t="inlineStr">
        <is>
          <t xml:space="preserve">machine </t>
        </is>
      </c>
      <c r="B187" t="n">
        <v>32</v>
      </c>
    </row>
    <row r="188">
      <c r="A188" t="inlineStr">
        <is>
          <t xml:space="preserve">access </t>
        </is>
      </c>
      <c r="B188" t="n">
        <v>25</v>
      </c>
    </row>
    <row r="189">
      <c r="A189" t="inlineStr">
        <is>
          <t xml:space="preserve">eye </t>
        </is>
      </c>
      <c r="B189" t="n">
        <v>9</v>
      </c>
    </row>
    <row r="190">
      <c r="A190" t="inlineStr">
        <is>
          <t xml:space="preserve">real time </t>
        </is>
      </c>
      <c r="B190" t="n">
        <v>5</v>
      </c>
    </row>
    <row r="191">
      <c r="A191" t="inlineStr">
        <is>
          <t xml:space="preserve">track </t>
        </is>
      </c>
      <c r="B191" t="n">
        <v>71</v>
      </c>
    </row>
    <row r="192">
      <c r="A192" t="inlineStr">
        <is>
          <t xml:space="preserve">front door </t>
        </is>
      </c>
      <c r="B192" t="n">
        <v>27</v>
      </c>
    </row>
    <row r="193">
      <c r="A193" t="inlineStr">
        <is>
          <t xml:space="preserve">mobile </t>
        </is>
      </c>
      <c r="B193" t="n">
        <v>9</v>
      </c>
    </row>
    <row r="194">
      <c r="A194" t="inlineStr">
        <is>
          <t xml:space="preserve">evening </t>
        </is>
      </c>
      <c r="B194" t="n">
        <v>6</v>
      </c>
    </row>
    <row r="195">
      <c r="A195" t="inlineStr">
        <is>
          <t xml:space="preserve">specific time </t>
        </is>
      </c>
      <c r="B195" t="n">
        <v>11</v>
      </c>
    </row>
    <row r="196">
      <c r="A196" t="inlineStr">
        <is>
          <t xml:space="preserve">assistant </t>
        </is>
      </c>
      <c r="B196" t="n">
        <v>7</v>
      </c>
    </row>
    <row r="197">
      <c r="A197" t="inlineStr">
        <is>
          <t xml:space="preserve">cleaner </t>
        </is>
      </c>
      <c r="B197" t="n">
        <v>7</v>
      </c>
    </row>
    <row r="198">
      <c r="A198" t="inlineStr">
        <is>
          <t xml:space="preserve">full </t>
        </is>
      </c>
      <c r="B198" t="n">
        <v>14</v>
      </c>
    </row>
    <row r="199">
      <c r="A199" t="inlineStr">
        <is>
          <t xml:space="preserve">sunlight </t>
        </is>
      </c>
      <c r="B199" t="n">
        <v>12</v>
      </c>
    </row>
    <row r="200">
      <c r="A200" t="inlineStr">
        <is>
          <t xml:space="preserve">wall </t>
        </is>
      </c>
      <c r="B200" t="n">
        <v>17</v>
      </c>
    </row>
    <row r="201">
      <c r="A201" t="inlineStr">
        <is>
          <t xml:space="preserve">heating </t>
        </is>
      </c>
      <c r="B201" t="n">
        <v>12</v>
      </c>
    </row>
    <row r="202">
      <c r="A202" t="inlineStr">
        <is>
          <t xml:space="preserve">technology </t>
        </is>
      </c>
      <c r="B202" t="n">
        <v>8</v>
      </c>
    </row>
    <row r="203">
      <c r="A203" t="inlineStr">
        <is>
          <t xml:space="preserve">search </t>
        </is>
      </c>
      <c r="B203" t="n">
        <v>7</v>
      </c>
    </row>
    <row r="204">
      <c r="A204" t="inlineStr">
        <is>
          <t xml:space="preserve">hour </t>
        </is>
      </c>
      <c r="B204" t="n">
        <v>23</v>
      </c>
    </row>
    <row r="205">
      <c r="A205" t="inlineStr">
        <is>
          <t xml:space="preserve">something </t>
        </is>
      </c>
      <c r="B205" t="n">
        <v>59</v>
      </c>
    </row>
    <row r="206">
      <c r="A206" t="inlineStr">
        <is>
          <t xml:space="preserve">milk </t>
        </is>
      </c>
      <c r="B206" t="n">
        <v>6</v>
      </c>
    </row>
    <row r="207">
      <c r="A207" t="inlineStr">
        <is>
          <t xml:space="preserve">damage </t>
        </is>
      </c>
      <c r="B207" t="n">
        <v>10</v>
      </c>
    </row>
    <row r="208">
      <c r="A208" t="inlineStr">
        <is>
          <t xml:space="preserve">housewife </t>
        </is>
      </c>
      <c r="B208" t="n">
        <v>6</v>
      </c>
    </row>
    <row r="209">
      <c r="A209" t="inlineStr">
        <is>
          <t xml:space="preserve">television </t>
        </is>
      </c>
      <c r="B209" t="n">
        <v>26</v>
      </c>
    </row>
    <row r="210">
      <c r="A210" t="inlineStr">
        <is>
          <t xml:space="preserve">breakfast </t>
        </is>
      </c>
      <c r="B210" t="n">
        <v>5</v>
      </c>
    </row>
    <row r="211">
      <c r="A211" t="inlineStr">
        <is>
          <t xml:space="preserve">outside light </t>
        </is>
      </c>
      <c r="B211" t="n">
        <v>5</v>
      </c>
    </row>
    <row r="212">
      <c r="A212" t="inlineStr">
        <is>
          <t xml:space="preserve">bright </t>
        </is>
      </c>
      <c r="B212" t="n">
        <v>5</v>
      </c>
    </row>
    <row r="213">
      <c r="A213" t="inlineStr">
        <is>
          <t xml:space="preserve">health problem </t>
        </is>
      </c>
      <c r="B213" t="n">
        <v>5</v>
      </c>
    </row>
    <row r="214">
      <c r="A214" t="inlineStr">
        <is>
          <t xml:space="preserve">fixed </t>
        </is>
      </c>
      <c r="B214" t="n">
        <v>5</v>
      </c>
    </row>
    <row r="215">
      <c r="A215" t="inlineStr">
        <is>
          <t xml:space="preserve">presence </t>
        </is>
      </c>
      <c r="B215" t="n">
        <v>8</v>
      </c>
    </row>
    <row r="216">
      <c r="A216" t="inlineStr">
        <is>
          <t xml:space="preserve">refrigerator </t>
        </is>
      </c>
      <c r="B216" t="n">
        <v>35</v>
      </c>
    </row>
    <row r="217">
      <c r="A217" t="inlineStr">
        <is>
          <t xml:space="preserve">change </t>
        </is>
      </c>
      <c r="B217" t="n">
        <v>13</v>
      </c>
    </row>
    <row r="218">
      <c r="A218" t="inlineStr">
        <is>
          <t xml:space="preserve">list </t>
        </is>
      </c>
      <c r="B218" t="n">
        <v>19</v>
      </c>
    </row>
    <row r="219">
      <c r="A219" t="inlineStr">
        <is>
          <t xml:space="preserve">hand </t>
        </is>
      </c>
      <c r="B219" t="n">
        <v>11</v>
      </c>
    </row>
    <row r="220">
      <c r="A220" t="inlineStr">
        <is>
          <t xml:space="preserve">shopping list </t>
        </is>
      </c>
      <c r="B220" t="n">
        <v>6</v>
      </c>
    </row>
    <row r="221">
      <c r="A221" t="inlineStr">
        <is>
          <t xml:space="preserve">phone </t>
        </is>
      </c>
      <c r="B221" t="n">
        <v>93</v>
      </c>
    </row>
    <row r="222">
      <c r="A222" t="inlineStr">
        <is>
          <t xml:space="preserve">store </t>
        </is>
      </c>
      <c r="B222" t="n">
        <v>17</v>
      </c>
    </row>
    <row r="223">
      <c r="A223" t="inlineStr">
        <is>
          <t xml:space="preserve">husband </t>
        </is>
      </c>
      <c r="B223" t="n">
        <v>16</v>
      </c>
    </row>
    <row r="224">
      <c r="A224" t="inlineStr">
        <is>
          <t xml:space="preserve">human </t>
        </is>
      </c>
      <c r="B224" t="n">
        <v>7</v>
      </c>
    </row>
    <row r="225">
      <c r="A225" t="inlineStr">
        <is>
          <t xml:space="preserve">someone approach </t>
        </is>
      </c>
      <c r="B225" t="n">
        <v>6</v>
      </c>
    </row>
    <row r="226">
      <c r="A226" t="inlineStr">
        <is>
          <t xml:space="preserve">child 's </t>
        </is>
      </c>
      <c r="B226" t="n">
        <v>5</v>
      </c>
    </row>
    <row r="227">
      <c r="A227" t="inlineStr">
        <is>
          <t xml:space="preserve">computer </t>
        </is>
      </c>
      <c r="B227" t="n">
        <v>26</v>
      </c>
    </row>
    <row r="228">
      <c r="A228" t="inlineStr">
        <is>
          <t xml:space="preserve">step </t>
        </is>
      </c>
      <c r="B228" t="n">
        <v>9</v>
      </c>
    </row>
    <row r="229">
      <c r="A229" t="inlineStr">
        <is>
          <t xml:space="preserve">winter </t>
        </is>
      </c>
      <c r="B229" t="n">
        <v>14</v>
      </c>
    </row>
    <row r="230">
      <c r="A230" t="inlineStr">
        <is>
          <t xml:space="preserve">ingredient </t>
        </is>
      </c>
      <c r="B230" t="n">
        <v>6</v>
      </c>
    </row>
    <row r="231">
      <c r="A231" t="inlineStr">
        <is>
          <t xml:space="preserve">weight </t>
        </is>
      </c>
      <c r="B231" t="n">
        <v>10</v>
      </c>
    </row>
    <row r="232">
      <c r="A232" t="inlineStr">
        <is>
          <t xml:space="preserve">privacy </t>
        </is>
      </c>
      <c r="B232" t="n">
        <v>9</v>
      </c>
    </row>
    <row r="233">
      <c r="A233" t="inlineStr">
        <is>
          <t xml:space="preserve">entertainment </t>
        </is>
      </c>
      <c r="B233" t="n">
        <v>10</v>
      </c>
    </row>
    <row r="234">
      <c r="A234" t="inlineStr">
        <is>
          <t xml:space="preserve">voice command </t>
        </is>
      </c>
      <c r="B234" t="n">
        <v>11</v>
      </c>
    </row>
    <row r="235">
      <c r="A235" t="inlineStr">
        <is>
          <t xml:space="preserve">touch </t>
        </is>
      </c>
      <c r="B235" t="n">
        <v>6</v>
      </c>
    </row>
    <row r="236">
      <c r="A236" t="inlineStr">
        <is>
          <t xml:space="preserve">living </t>
        </is>
      </c>
      <c r="B236" t="n">
        <v>8</v>
      </c>
    </row>
    <row r="237">
      <c r="A237" t="inlineStr">
        <is>
          <t xml:space="preserve">collar </t>
        </is>
      </c>
      <c r="B237" t="n">
        <v>6</v>
      </c>
    </row>
    <row r="238">
      <c r="A238" t="inlineStr">
        <is>
          <t xml:space="preserve">pipe </t>
        </is>
      </c>
      <c r="B238" t="n">
        <v>7</v>
      </c>
    </row>
    <row r="239">
      <c r="A239" t="inlineStr">
        <is>
          <t xml:space="preserve">level </t>
        </is>
      </c>
      <c r="B239" t="n">
        <v>30</v>
      </c>
    </row>
    <row r="240">
      <c r="A240" t="inlineStr">
        <is>
          <t xml:space="preserve">summer </t>
        </is>
      </c>
      <c r="B240" t="n">
        <v>7</v>
      </c>
    </row>
    <row r="241">
      <c r="A241" t="inlineStr">
        <is>
          <t xml:space="preserve">sleep </t>
        </is>
      </c>
      <c r="B241" t="n">
        <v>12</v>
      </c>
    </row>
    <row r="242">
      <c r="A242" t="inlineStr">
        <is>
          <t xml:space="preserve">situation </t>
        </is>
      </c>
      <c r="B242" t="n">
        <v>10</v>
      </c>
    </row>
    <row r="243">
      <c r="A243" t="inlineStr">
        <is>
          <t xml:space="preserve">long </t>
        </is>
      </c>
      <c r="B243" t="n">
        <v>16</v>
      </c>
    </row>
    <row r="244">
      <c r="A244" t="inlineStr">
        <is>
          <t xml:space="preserve">hot water </t>
        </is>
      </c>
      <c r="B244" t="n">
        <v>12</v>
      </c>
    </row>
    <row r="245">
      <c r="A245" t="inlineStr">
        <is>
          <t xml:space="preserve">longer </t>
        </is>
      </c>
      <c r="B245" t="n">
        <v>5</v>
      </c>
    </row>
    <row r="246">
      <c r="A246" t="inlineStr">
        <is>
          <t xml:space="preserve">outlet </t>
        </is>
      </c>
      <c r="B246" t="n">
        <v>9</v>
      </c>
    </row>
    <row r="247">
      <c r="A247" t="inlineStr">
        <is>
          <t xml:space="preserve">mode </t>
        </is>
      </c>
      <c r="B247" t="n">
        <v>5</v>
      </c>
    </row>
    <row r="248">
      <c r="A248" t="inlineStr">
        <is>
          <t xml:space="preserve">option </t>
        </is>
      </c>
      <c r="B248" t="n">
        <v>11</v>
      </c>
    </row>
    <row r="249">
      <c r="A249" t="inlineStr">
        <is>
          <t xml:space="preserve">degree </t>
        </is>
      </c>
      <c r="B249" t="n">
        <v>8</v>
      </c>
    </row>
    <row r="250">
      <c r="A250" t="inlineStr">
        <is>
          <t xml:space="preserve">power </t>
        </is>
      </c>
      <c r="B250" t="n">
        <v>26</v>
      </c>
    </row>
    <row r="251">
      <c r="A251" t="inlineStr">
        <is>
          <t xml:space="preserve">self </t>
        </is>
      </c>
      <c r="B251" t="n">
        <v>21</v>
      </c>
    </row>
    <row r="252">
      <c r="A252" t="inlineStr">
        <is>
          <t xml:space="preserve">toilet </t>
        </is>
      </c>
      <c r="B252" t="n">
        <v>21</v>
      </c>
    </row>
    <row r="253">
      <c r="A253" t="inlineStr">
        <is>
          <t xml:space="preserve">command </t>
        </is>
      </c>
      <c r="B253" t="n">
        <v>8</v>
      </c>
    </row>
    <row r="254">
      <c r="A254" t="inlineStr">
        <is>
          <t xml:space="preserve">individual </t>
        </is>
      </c>
      <c r="B254" t="n">
        <v>6</v>
      </c>
    </row>
    <row r="255">
      <c r="A255" t="inlineStr">
        <is>
          <t xml:space="preserve">father </t>
        </is>
      </c>
      <c r="B255" t="n">
        <v>5</v>
      </c>
    </row>
    <row r="256">
      <c r="A256" t="inlineStr">
        <is>
          <t xml:space="preserve">utility </t>
        </is>
      </c>
      <c r="B256" t="n">
        <v>9</v>
      </c>
    </row>
    <row r="257">
      <c r="A257" t="inlineStr">
        <is>
          <t xml:space="preserve">large </t>
        </is>
      </c>
      <c r="B257" t="n">
        <v>5</v>
      </c>
    </row>
    <row r="258">
      <c r="A258" t="inlineStr">
        <is>
          <t xml:space="preserve">next </t>
        </is>
      </c>
      <c r="B258" t="n">
        <v>6</v>
      </c>
    </row>
    <row r="259">
      <c r="A259" t="inlineStr">
        <is>
          <t xml:space="preserve">accident </t>
        </is>
      </c>
      <c r="B259" t="n">
        <v>8</v>
      </c>
    </row>
    <row r="260">
      <c r="A260" t="inlineStr">
        <is>
          <t xml:space="preserve">free </t>
        </is>
      </c>
      <c r="B260" t="n">
        <v>6</v>
      </c>
    </row>
    <row r="261">
      <c r="A261" t="inlineStr">
        <is>
          <t xml:space="preserve">sunny </t>
        </is>
      </c>
      <c r="B261" t="n">
        <v>5</v>
      </c>
    </row>
    <row r="262">
      <c r="A262" t="inlineStr">
        <is>
          <t xml:space="preserve">event </t>
        </is>
      </c>
      <c r="B262" t="n">
        <v>9</v>
      </c>
    </row>
    <row r="263">
      <c r="A263" t="inlineStr">
        <is>
          <t xml:space="preserve">mail </t>
        </is>
      </c>
      <c r="B263" t="n">
        <v>16</v>
      </c>
    </row>
    <row r="264">
      <c r="A264" t="inlineStr">
        <is>
          <t xml:space="preserve">back door </t>
        </is>
      </c>
      <c r="B264" t="n">
        <v>8</v>
      </c>
    </row>
    <row r="265">
      <c r="A265" t="inlineStr">
        <is>
          <t xml:space="preserve">weather condition </t>
        </is>
      </c>
      <c r="B265" t="n">
        <v>5</v>
      </c>
    </row>
    <row r="266">
      <c r="A266" t="inlineStr">
        <is>
          <t xml:space="preserve">matter </t>
        </is>
      </c>
      <c r="B266" t="n">
        <v>9</v>
      </c>
    </row>
    <row r="267">
      <c r="A267" t="inlineStr">
        <is>
          <t xml:space="preserve">quality </t>
        </is>
      </c>
      <c r="B267" t="n">
        <v>5</v>
      </c>
    </row>
    <row r="268">
      <c r="A268" t="inlineStr">
        <is>
          <t xml:space="preserve">program </t>
        </is>
      </c>
      <c r="B268" t="n">
        <v>18</v>
      </c>
    </row>
    <row r="269">
      <c r="A269" t="inlineStr">
        <is>
          <t xml:space="preserve">preference </t>
        </is>
      </c>
      <c r="B269" t="n">
        <v>7</v>
      </c>
    </row>
    <row r="270">
      <c r="A270" t="inlineStr">
        <is>
          <t xml:space="preserve">clothes </t>
        </is>
      </c>
      <c r="B270" t="n">
        <v>29</v>
      </c>
    </row>
    <row r="271">
      <c r="A271" t="inlineStr">
        <is>
          <t xml:space="preserve">supply </t>
        </is>
      </c>
      <c r="B271" t="n">
        <v>6</v>
      </c>
    </row>
    <row r="272">
      <c r="A272" t="inlineStr">
        <is>
          <t xml:space="preserve">clothing </t>
        </is>
      </c>
      <c r="B272" t="n">
        <v>5</v>
      </c>
    </row>
    <row r="273">
      <c r="A273" t="inlineStr">
        <is>
          <t xml:space="preserve">waste time </t>
        </is>
      </c>
      <c r="B273" t="n">
        <v>5</v>
      </c>
    </row>
    <row r="274">
      <c r="A274" t="inlineStr">
        <is>
          <t xml:space="preserve">automatic light </t>
        </is>
      </c>
      <c r="B274" t="n">
        <v>5</v>
      </c>
    </row>
    <row r="275">
      <c r="A275" t="inlineStr">
        <is>
          <t xml:space="preserve">play </t>
        </is>
      </c>
      <c r="B275" t="n">
        <v>5</v>
      </c>
    </row>
    <row r="276">
      <c r="A276" t="inlineStr">
        <is>
          <t xml:space="preserve">car owner </t>
        </is>
      </c>
      <c r="B276" t="n">
        <v>9</v>
      </c>
    </row>
    <row r="277">
      <c r="A277" t="inlineStr">
        <is>
          <t xml:space="preserve">everyone </t>
        </is>
      </c>
      <c r="B277" t="n">
        <v>13</v>
      </c>
    </row>
    <row r="278">
      <c r="A278" t="inlineStr">
        <is>
          <t xml:space="preserve">rain </t>
        </is>
      </c>
      <c r="B278" t="n">
        <v>5</v>
      </c>
    </row>
    <row r="279">
      <c r="A279" t="inlineStr">
        <is>
          <t xml:space="preserve">filter </t>
        </is>
      </c>
      <c r="B279" t="n">
        <v>6</v>
      </c>
    </row>
    <row r="280">
      <c r="A280" t="inlineStr">
        <is>
          <t xml:space="preserve">present </t>
        </is>
      </c>
      <c r="B280" t="n">
        <v>6</v>
      </c>
    </row>
    <row r="281">
      <c r="A281" t="inlineStr">
        <is>
          <t xml:space="preserve">drink </t>
        </is>
      </c>
      <c r="B281" t="n">
        <v>8</v>
      </c>
    </row>
    <row r="282">
      <c r="A282" t="inlineStr">
        <is>
          <t xml:space="preserve">start </t>
        </is>
      </c>
      <c r="B282" t="n">
        <v>5</v>
      </c>
    </row>
    <row r="283">
      <c r="A283" t="inlineStr">
        <is>
          <t xml:space="preserve">appropriate </t>
        </is>
      </c>
      <c r="B283" t="n">
        <v>11</v>
      </c>
    </row>
    <row r="284">
      <c r="A284" t="inlineStr">
        <is>
          <t xml:space="preserve">ground </t>
        </is>
      </c>
      <c r="B284" t="n">
        <v>6</v>
      </c>
    </row>
    <row r="285">
      <c r="A285" t="inlineStr">
        <is>
          <t xml:space="preserve">cost </t>
        </is>
      </c>
      <c r="B285" t="n">
        <v>6</v>
      </c>
    </row>
    <row r="286">
      <c r="A286" t="inlineStr">
        <is>
          <t xml:space="preserve">water level </t>
        </is>
      </c>
      <c r="B286" t="n">
        <v>8</v>
      </c>
    </row>
    <row r="287">
      <c r="A287" t="inlineStr">
        <is>
          <t xml:space="preserve">everything </t>
        </is>
      </c>
      <c r="B287" t="n">
        <v>8</v>
      </c>
    </row>
    <row r="288">
      <c r="A288" t="inlineStr">
        <is>
          <t xml:space="preserve">vacation </t>
        </is>
      </c>
      <c r="B288" t="n">
        <v>8</v>
      </c>
    </row>
    <row r="289">
      <c r="A289" t="inlineStr">
        <is>
          <t xml:space="preserve">pool </t>
        </is>
      </c>
      <c r="B289" t="n">
        <v>14</v>
      </c>
    </row>
    <row r="290">
      <c r="A290" t="inlineStr">
        <is>
          <t xml:space="preserve">warning </t>
        </is>
      </c>
      <c r="B290" t="n">
        <v>5</v>
      </c>
    </row>
    <row r="291">
      <c r="A291" t="inlineStr">
        <is>
          <t xml:space="preserve">favorite </t>
        </is>
      </c>
      <c r="B291" t="n">
        <v>8</v>
      </c>
    </row>
    <row r="292">
      <c r="A292" t="inlineStr">
        <is>
          <t xml:space="preserve">necessary </t>
        </is>
      </c>
      <c r="B292" t="n">
        <v>12</v>
      </c>
    </row>
    <row r="293">
      <c r="A293" t="inlineStr">
        <is>
          <t xml:space="preserve">head </t>
        </is>
      </c>
      <c r="B293" t="n">
        <v>7</v>
      </c>
    </row>
    <row r="294">
      <c r="A294" t="inlineStr">
        <is>
          <t xml:space="preserve">fresh </t>
        </is>
      </c>
      <c r="B294" t="n">
        <v>7</v>
      </c>
    </row>
    <row r="295">
      <c r="A295" t="inlineStr">
        <is>
          <t xml:space="preserve">screen </t>
        </is>
      </c>
      <c r="B295" t="n">
        <v>16</v>
      </c>
    </row>
    <row r="296">
      <c r="A296" t="inlineStr">
        <is>
          <t xml:space="preserve">waste energy </t>
        </is>
      </c>
      <c r="B296" t="n">
        <v>10</v>
      </c>
    </row>
    <row r="297">
      <c r="A297" t="inlineStr">
        <is>
          <t xml:space="preserve">inventory </t>
        </is>
      </c>
      <c r="B297" t="n">
        <v>6</v>
      </c>
    </row>
    <row r="298">
      <c r="A298" t="inlineStr">
        <is>
          <t xml:space="preserve">waste water </t>
        </is>
      </c>
      <c r="B298" t="n">
        <v>6</v>
      </c>
    </row>
    <row r="299">
      <c r="A299" t="inlineStr">
        <is>
          <t xml:space="preserve">neighbor </t>
        </is>
      </c>
      <c r="B299" t="n">
        <v>5</v>
      </c>
    </row>
    <row r="300">
      <c r="A300" t="inlineStr">
        <is>
          <t xml:space="preserve">water bill </t>
        </is>
      </c>
      <c r="B300" t="n">
        <v>5</v>
      </c>
    </row>
    <row r="301">
      <c r="A301" t="inlineStr">
        <is>
          <t xml:space="preserve">sort </t>
        </is>
      </c>
      <c r="B301" t="n">
        <v>5</v>
      </c>
    </row>
    <row r="302">
      <c r="A302" t="inlineStr">
        <is>
          <t xml:space="preserve">friend </t>
        </is>
      </c>
      <c r="B302" t="n">
        <v>7</v>
      </c>
    </row>
    <row r="303">
      <c r="A303" t="inlineStr">
        <is>
          <t xml:space="preserve">network </t>
        </is>
      </c>
      <c r="B303" t="n">
        <v>6</v>
      </c>
    </row>
    <row r="304">
      <c r="A304" t="inlineStr">
        <is>
          <t xml:space="preserve">medicine </t>
        </is>
      </c>
      <c r="B304" t="n">
        <v>7</v>
      </c>
    </row>
    <row r="305">
      <c r="A305" t="inlineStr">
        <is>
          <t xml:space="preserve">load </t>
        </is>
      </c>
      <c r="B305" t="n">
        <v>5</v>
      </c>
    </row>
    <row r="306">
      <c r="A306" t="inlineStr">
        <is>
          <t xml:space="preserve">cell phone </t>
        </is>
      </c>
      <c r="B306" t="n">
        <v>7</v>
      </c>
    </row>
    <row r="307">
      <c r="A307" t="inlineStr">
        <is>
          <t xml:space="preserve">waste </t>
        </is>
      </c>
      <c r="B307" t="n">
        <v>11</v>
      </c>
    </row>
    <row r="308">
      <c r="A308" t="inlineStr">
        <is>
          <t xml:space="preserve">escape </t>
        </is>
      </c>
      <c r="B308" t="n">
        <v>5</v>
      </c>
    </row>
    <row r="309">
      <c r="A309" t="inlineStr">
        <is>
          <t xml:space="preserve">hair </t>
        </is>
      </c>
      <c r="B309" t="n">
        <v>5</v>
      </c>
    </row>
    <row r="310">
      <c r="A310" t="inlineStr">
        <is>
          <t xml:space="preserve">garbage </t>
        </is>
      </c>
      <c r="B310" t="n">
        <v>6</v>
      </c>
    </row>
    <row r="311">
      <c r="A311" t="inlineStr">
        <is>
          <t xml:space="preserve">less energy </t>
        </is>
      </c>
      <c r="B311" t="n">
        <v>5</v>
      </c>
    </row>
    <row r="312">
      <c r="A312" t="inlineStr">
        <is>
          <t xml:space="preserve">sound system </t>
        </is>
      </c>
      <c r="B312" t="n">
        <v>5</v>
      </c>
    </row>
    <row r="313">
      <c r="A313" t="inlineStr">
        <is>
          <t xml:space="preserve">panel </t>
        </is>
      </c>
      <c r="B313" t="n">
        <v>7</v>
      </c>
    </row>
    <row r="314">
      <c r="A314" t="inlineStr">
        <is>
          <t xml:space="preserve">cabinet </t>
        </is>
      </c>
      <c r="B314" t="n">
        <v>6</v>
      </c>
    </row>
    <row r="315">
      <c r="A315" t="inlineStr">
        <is>
          <t xml:space="preserve">efficient </t>
        </is>
      </c>
      <c r="B315" t="n">
        <v>7</v>
      </c>
    </row>
    <row r="316">
      <c r="A316" t="inlineStr">
        <is>
          <t xml:space="preserve">peace </t>
        </is>
      </c>
      <c r="B316" t="n">
        <v>6</v>
      </c>
    </row>
    <row r="317">
      <c r="A317" t="inlineStr">
        <is>
          <t xml:space="preserve">drain </t>
        </is>
      </c>
      <c r="B317" t="n">
        <v>5</v>
      </c>
    </row>
    <row r="318">
      <c r="A318" t="inlineStr">
        <is>
          <t xml:space="preserve">security system </t>
        </is>
      </c>
      <c r="B318" t="n">
        <v>6</v>
      </c>
    </row>
    <row r="319">
      <c r="A319" t="inlineStr">
        <is>
          <t xml:space="preserve">sport fan </t>
        </is>
      </c>
      <c r="B319" t="n">
        <v>5</v>
      </c>
    </row>
    <row r="320">
      <c r="A320" t="inlineStr">
        <is>
          <t xml:space="preserve">unwanted </t>
        </is>
      </c>
      <c r="B320" t="n">
        <v>7</v>
      </c>
    </row>
    <row r="321">
      <c r="A321" t="inlineStr">
        <is>
          <t xml:space="preserve">roof </t>
        </is>
      </c>
      <c r="B321" t="n">
        <v>9</v>
      </c>
    </row>
    <row r="322">
      <c r="A322" t="inlineStr">
        <is>
          <t xml:space="preserve">authority </t>
        </is>
      </c>
      <c r="B322" t="n">
        <v>6</v>
      </c>
    </row>
    <row r="323">
      <c r="A323" t="inlineStr">
        <is>
          <t xml:space="preserve">stair </t>
        </is>
      </c>
      <c r="B323" t="n">
        <v>10</v>
      </c>
    </row>
    <row r="324">
      <c r="A324" t="inlineStr">
        <is>
          <t xml:space="preserve">automatic door </t>
        </is>
      </c>
      <c r="B324" t="n">
        <v>5</v>
      </c>
    </row>
    <row r="325">
      <c r="A325" t="inlineStr">
        <is>
          <t xml:space="preserve">fall </t>
        </is>
      </c>
      <c r="B325" t="n">
        <v>5</v>
      </c>
    </row>
    <row r="326">
      <c r="A326" t="inlineStr">
        <is>
          <t xml:space="preserve">dirty </t>
        </is>
      </c>
      <c r="B326" t="n">
        <v>5</v>
      </c>
    </row>
    <row r="327">
      <c r="A327" t="inlineStr">
        <is>
          <t xml:space="preserve">rural home occupant </t>
        </is>
      </c>
      <c r="B327" t="n">
        <v>5</v>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B2967"/>
  <sheetViews>
    <sheetView workbookViewId="0">
      <selection activeCell="A1" sqref="A1"/>
    </sheetView>
  </sheetViews>
  <sheetFormatPr baseColWidth="8" defaultRowHeight="15"/>
  <sheetData>
    <row r="1">
      <c r="A1" t="inlineStr">
        <is>
          <t>ID</t>
        </is>
      </c>
      <c r="B1" t="inlineStr">
        <is>
          <t>Requirement</t>
        </is>
      </c>
    </row>
    <row r="2">
      <c r="A2" t="n">
        <v>11</v>
      </c>
      <c r="B2" t="inlineStr">
        <is>
          <t>As a worker I want my smart home to be able to order delivery food by simple voice command so that I can prepare dinner easily after a long day at work.</t>
        </is>
      </c>
    </row>
    <row r="3">
      <c r="A3" t="n">
        <v>12</v>
      </c>
      <c r="B3" t="inlineStr">
        <is>
          <t>As a home occupant I want my smart home to turn on certain lights at dusk so that I can come home to a well-lit house.</t>
        </is>
      </c>
    </row>
    <row r="4">
      <c r="A4" t="n">
        <v>13</v>
      </c>
      <c r="B4" t="inlineStr">
        <is>
          <t>As a worker I want my smart home to sync with my biorhythm app and turn on some music that might suit my mood when I arrive home from work so that I can be relaxed.</t>
        </is>
      </c>
    </row>
    <row r="5">
      <c r="A5" t="n">
        <v>14</v>
      </c>
      <c r="B5" t="inlineStr">
        <is>
          <t>As a tv fan I want my smart home to to ring when my favorite shows are about to start so that I will never miss a minute of my favorite shows.</t>
        </is>
      </c>
    </row>
    <row r="6">
      <c r="A6" t="n">
        <v>15</v>
      </c>
      <c r="B6" t="inlineStr">
        <is>
          <t>As a student I want Class Reminders so that I won't be late for class.</t>
        </is>
      </c>
    </row>
    <row r="7">
      <c r="A7" t="n">
        <v>16</v>
      </c>
      <c r="B7" t="inlineStr">
        <is>
          <t>As a pet owner I want Video feed of my animals so that I know they are safe when I'm away.</t>
        </is>
      </c>
    </row>
    <row r="8">
      <c r="A8" t="n">
        <v>17</v>
      </c>
      <c r="B8" t="inlineStr">
        <is>
          <t>As a home occupant I want my smart home to regulate ideal temperature according to my personal preferences and the outside temperature so that I can be comfortable.</t>
        </is>
      </c>
    </row>
    <row r="9">
      <c r="A9" t="n">
        <v>18</v>
      </c>
      <c r="B9" t="inlineStr">
        <is>
          <t>As a working parent I want my smart home to send me a text when my kid gets home from school so that I can feel comfortable knowing that they made it home safely that day.</t>
        </is>
      </c>
    </row>
    <row r="10">
      <c r="A10" t="n">
        <v>19</v>
      </c>
      <c r="B10" t="inlineStr">
        <is>
          <t>As a hockey fan I want my smart home to play my team's goal home when they score so that I can immerse myself in a full home sports experience.</t>
        </is>
      </c>
    </row>
    <row r="11">
      <c r="A11" t="n">
        <v>20</v>
      </c>
      <c r="B11" t="inlineStr">
        <is>
          <t>As a parent I want my smart home to keep me up to date about my children's activities when I'm out of the home so that I can know they're safe and positively occupied.</t>
        </is>
      </c>
    </row>
    <row r="12">
      <c r="A12" t="n">
        <v>21</v>
      </c>
      <c r="B12" t="inlineStr">
        <is>
          <t>As a parent I want my smart home to send me a push notification when my kids arrive home from school so that I can know they made it home safety.</t>
        </is>
      </c>
    </row>
    <row r="13">
      <c r="A13" t="n">
        <v>22</v>
      </c>
      <c r="B13" t="inlineStr">
        <is>
          <t>As a cook I want shut the stove off for me so that I can work on other things while the food is cooking.</t>
        </is>
      </c>
    </row>
    <row r="14">
      <c r="A14" t="n">
        <v>23</v>
      </c>
      <c r="B14" t="inlineStr">
        <is>
          <t>As a home occupant I want my smart home to have a certain television show start on my TV when I arrive home so that I can immediately jump into watching it..</t>
        </is>
      </c>
    </row>
    <row r="15">
      <c r="A15" t="n">
        <v>24</v>
      </c>
      <c r="B15" t="inlineStr">
        <is>
          <t>As a home occupant I want my smart home to buzz when the shower is warm to my desired temperature so that I can know when it is optimal for me to get in.</t>
        </is>
      </c>
    </row>
    <row r="16">
      <c r="A16" t="n">
        <v>25</v>
      </c>
      <c r="B16" t="inlineStr">
        <is>
          <t>As a home occupant I want my smart home to sync with my alarm in the morning to turn on the lights and shower when it's time for me to wake up so that I can start my day more efficiently.</t>
        </is>
      </c>
    </row>
    <row r="17">
      <c r="A17" t="n">
        <v>26</v>
      </c>
      <c r="B17" t="inlineStr">
        <is>
          <t>As a home occupant I want my smart home to shut off the sink after two minutes when brushing my teeth so that I know I have brushed my teeth for at least the minimum required amount of time.</t>
        </is>
      </c>
    </row>
    <row r="18">
      <c r="A18" t="n">
        <v>27</v>
      </c>
      <c r="B18" t="inlineStr">
        <is>
          <t>As a parent I want my smart home to lock the doors at night so that my teenage children cannot sneak out.</t>
        </is>
      </c>
    </row>
    <row r="19">
      <c r="A19" t="n">
        <v>28</v>
      </c>
      <c r="B19" t="inlineStr">
        <is>
          <t>As a home occupant I want my alarm to be synced to food preparation, so that my breakfast food can be on the table (or at least ready in the toaster or oven) when I'm ready to eat it so that I can start my day more efficiently.</t>
        </is>
      </c>
    </row>
    <row r="20">
      <c r="A20" t="n">
        <v>29</v>
      </c>
      <c r="B20" t="inlineStr">
        <is>
          <t>As a music fan I want Music available throughout the house so that I don't have to limit my audio listening to a single room.</t>
        </is>
      </c>
    </row>
    <row r="21">
      <c r="A21" t="n">
        <v>31</v>
      </c>
      <c r="B21" t="inlineStr">
        <is>
          <t>As a home occupant I want my smart home to adjust the temperature based on the weather outside so that I can save on my energy bill by not using the AC unnecessarily .</t>
        </is>
      </c>
    </row>
    <row r="22">
      <c r="A22" t="n">
        <v>33</v>
      </c>
      <c r="B22" t="inlineStr">
        <is>
          <t>As a driver I want my smart home to open my garage door when it senses my vehicle arriving outside of it so that I don't have to worry about carrying a remote control opener.</t>
        </is>
      </c>
    </row>
    <row r="23">
      <c r="A23" t="n">
        <v>34</v>
      </c>
      <c r="B23" t="inlineStr">
        <is>
          <t>As a home occupant I want my smart home to shut the lights off for me in rooms with nobody in them so that I can save on electricity on my bills.</t>
        </is>
      </c>
    </row>
    <row r="24">
      <c r="A24" t="n">
        <v>35</v>
      </c>
      <c r="B24" t="inlineStr">
        <is>
          <t>As a home occupant I want my smart home to have auto sprinklers so that automatically watering of plants occurs.</t>
        </is>
      </c>
    </row>
    <row r="25">
      <c r="A25" t="n">
        <v>37</v>
      </c>
      <c r="B25" t="inlineStr">
        <is>
          <t>As a home owner I want my smart home to monitor my energy use and make recommendations to reduce energy consumption so that I will save money on my energy bill..</t>
        </is>
      </c>
    </row>
    <row r="26">
      <c r="A26" t="n">
        <v>38</v>
      </c>
      <c r="B26" t="inlineStr">
        <is>
          <t>As a parent I want my smart home to buzz my room if there is a disturbance in my baby's room so that I can make sure I can be there in case my baby needs anything.</t>
        </is>
      </c>
    </row>
    <row r="27">
      <c r="A27" t="n">
        <v>39</v>
      </c>
      <c r="B27" t="inlineStr">
        <is>
          <t>As a home owner I want Control over Temperature at any time so that I can save money on my electricity bill.</t>
        </is>
      </c>
    </row>
    <row r="28">
      <c r="A28" t="n">
        <v>40</v>
      </c>
      <c r="B28" t="inlineStr">
        <is>
          <t>As a home occupant I want an outdoor safety light to turn on at night when it senses something other than a family member or pet outside so that I can feel safe..</t>
        </is>
      </c>
    </row>
    <row r="29">
      <c r="A29" t="n">
        <v>41</v>
      </c>
      <c r="B29" t="inlineStr">
        <is>
          <t>As a home occupant I want my smart home to notify me when someone other than a family member or trusted other is near my home so that my family can be safe.</t>
        </is>
      </c>
    </row>
    <row r="30">
      <c r="A30" t="n">
        <v>43</v>
      </c>
      <c r="B30" t="inlineStr">
        <is>
          <t>As a home owner I want my smart home to calculate what heat sources would be the best for my home (ductless heat pump, regular furnace, space heaters, or any combination therof) so that my home is comfortable and energy-efficient when the weather is cold outside..</t>
        </is>
      </c>
    </row>
    <row r="31">
      <c r="A31" t="n">
        <v>44</v>
      </c>
      <c r="B31" t="inlineStr">
        <is>
          <t>As a home occupant I want hallway motion detectors so that safety is increased.</t>
        </is>
      </c>
    </row>
    <row r="32">
      <c r="A32" t="n">
        <v>45</v>
      </c>
      <c r="B32" t="inlineStr">
        <is>
          <t>As a home occupant I want my smart home to sync all Christmas-related lights, indoor and outdoor, and turn them on and off at the appropriate time so that it's more convenient for me.</t>
        </is>
      </c>
    </row>
    <row r="33">
      <c r="A33" t="n">
        <v>47</v>
      </c>
      <c r="B33" t="inlineStr">
        <is>
          <t>As a home occupant I want my smart home to notify me when a box has been delivered at my home, preferably with the packaging information from the label so that I can get easy status updates on package delivery.</t>
        </is>
      </c>
    </row>
    <row r="34">
      <c r="A34" t="n">
        <v>48</v>
      </c>
      <c r="B34" t="inlineStr">
        <is>
          <t>As a home occupant I want automatic fragrance sprinkler so that as soon as it detects bad odour, it gets activated.</t>
        </is>
      </c>
    </row>
    <row r="35">
      <c r="A35" t="n">
        <v>50</v>
      </c>
      <c r="B35" t="inlineStr">
        <is>
          <t>As a home owner I want my smart home to analyze and recommend the best sources to cool my home (air conditioning, window fan, ceiling fan, ductless heat pump, etc.) so that I will be comfortable during hot days..</t>
        </is>
      </c>
    </row>
    <row r="36">
      <c r="A36" t="n">
        <v>52</v>
      </c>
      <c r="B36" t="inlineStr">
        <is>
          <t>As a home owner I want a Carbon Monoxide detector  so that my family is always kept safe from dangerous gasses .</t>
        </is>
      </c>
    </row>
    <row r="37">
      <c r="A37" t="n">
        <v>54</v>
      </c>
      <c r="B37" t="inlineStr">
        <is>
          <t>As a parent I want automated sharp furniture sensors so that if my child nears such places, alarm goes off.</t>
        </is>
      </c>
    </row>
    <row r="38">
      <c r="A38" t="n">
        <v>55</v>
      </c>
      <c r="B38" t="inlineStr">
        <is>
          <t>As a home owner I want my smart home to monitor anyone near my home's doors, windows, etc. and notify me if there is someone there who does not live in the home so that I will be informed quickly if a potential intruder is at my home..</t>
        </is>
      </c>
    </row>
    <row r="39">
      <c r="A39" t="n">
        <v>58</v>
      </c>
      <c r="B39" t="inlineStr">
        <is>
          <t>As a pet owner I want automated food bowl so that it automatically replenishes itself at lunch time of pet.</t>
        </is>
      </c>
    </row>
    <row r="40">
      <c r="A40" t="n">
        <v>59</v>
      </c>
      <c r="B40" t="inlineStr">
        <is>
          <t>As a cook I want Smart appliances that give me relevant information on the food i'm cooking so that Food always gets cooked as much as it's needed.</t>
        </is>
      </c>
    </row>
    <row r="41">
      <c r="A41" t="n">
        <v>60</v>
      </c>
      <c r="B41" t="inlineStr">
        <is>
          <t>As a home occupant I want my smart home to greet and take pictures of anyone who enters my home who is not a registered occupant so that a person wishing to do harm at home would think twice about doing so..</t>
        </is>
      </c>
    </row>
    <row r="42">
      <c r="A42" t="n">
        <v>61</v>
      </c>
      <c r="B42" t="inlineStr">
        <is>
          <t>As a pet owner I want to be notified via smartwatch application by my smarthome when my pet's water container is low so that so that my pet will always be hydrated and better taken care of. .</t>
        </is>
      </c>
    </row>
    <row r="43">
      <c r="A43" t="n">
        <v>62</v>
      </c>
      <c r="B43" t="inlineStr">
        <is>
          <t>As a home occupant I want temprature sensors so that temprature of house remains constant.</t>
        </is>
      </c>
    </row>
    <row r="44">
      <c r="A44" t="n">
        <v>63</v>
      </c>
      <c r="B44" t="inlineStr">
        <is>
          <t>As a home occupant I want my smart home to inform me of any weather alerts for my area so that I can be warned of potential weather issues such as snow, high winds, etc..</t>
        </is>
      </c>
    </row>
    <row r="45">
      <c r="A45" t="n">
        <v>64</v>
      </c>
      <c r="B45" t="inlineStr">
        <is>
          <t>As a home resident I want my smart home to have video camera's outside my home so that I always know who is at my door before checking.</t>
        </is>
      </c>
    </row>
    <row r="46">
      <c r="A46" t="n">
        <v>66</v>
      </c>
      <c r="B46" t="inlineStr">
        <is>
          <t>As a consumer I want my smart home to provide news and updates on my hobbies so that I can easily learn about new products I may be interested in.</t>
        </is>
      </c>
    </row>
    <row r="47">
      <c r="A47" t="n">
        <v>67</v>
      </c>
      <c r="B47" t="inlineStr">
        <is>
          <t>As a plant owner I want to be notified by my smarthome when my plant's soil becomes too dry  so that so that I can prevent my plant from dying and therefore saving money by not having to keep purchasing new plants..</t>
        </is>
      </c>
    </row>
    <row r="48">
      <c r="A48" t="n">
        <v>68</v>
      </c>
      <c r="B48" t="inlineStr">
        <is>
          <t>As a person with back pain I want my bed to come with smart features that allow me to control comfort so that I get the best night's sleep I can have.</t>
        </is>
      </c>
    </row>
    <row r="49">
      <c r="A49" t="n">
        <v>69</v>
      </c>
      <c r="B49" t="inlineStr">
        <is>
          <t>As a person who wants to stay healthy I want my smart home to monitor my body and inform me daily or weekly when a potential health concern is noticed so that so that I can be proactive and consider visiting a doctor or dentist to have the issue reviewd..</t>
        </is>
      </c>
    </row>
    <row r="50">
      <c r="A50" t="n">
        <v>71</v>
      </c>
      <c r="B50" t="inlineStr">
        <is>
          <t>As a home occupant I want automated music system  so that it automatically detects my mood and plays background music according to it..</t>
        </is>
      </c>
    </row>
    <row r="51">
      <c r="A51" t="n">
        <v>72</v>
      </c>
      <c r="B51" t="inlineStr">
        <is>
          <t>As a home owner I want to be notified by my smarthome when my energy consumption (electricity, gas) is higher than usual so that I can adjust accordingly and save money on energy bills..</t>
        </is>
      </c>
    </row>
    <row r="52">
      <c r="A52" t="n">
        <v>73</v>
      </c>
      <c r="B52" t="inlineStr">
        <is>
          <t>As a person who wants to stay healthy I want my smart home to make daily recommendations of activities or foods that are good for me, i.e. "the weather is perfect for a nice walk today" so that I can be reminded of my health goals, and good ways to achieve them..</t>
        </is>
      </c>
    </row>
    <row r="53">
      <c r="A53" t="n">
        <v>75</v>
      </c>
      <c r="B53" t="inlineStr">
        <is>
          <t>As a home owner I want to be alerted when a window is smashed or forced opened from outside the house so that I can prepare for an intruder and call the police. .</t>
        </is>
      </c>
    </row>
    <row r="54">
      <c r="A54" t="n">
        <v>76</v>
      </c>
      <c r="B54" t="inlineStr">
        <is>
          <t>As a parent I want socket adapters so that accidental shocks are avoided.</t>
        </is>
      </c>
    </row>
    <row r="55">
      <c r="A55" t="n">
        <v>77</v>
      </c>
      <c r="B55" t="inlineStr">
        <is>
          <t>As a home owner I want to control my stovetops with my smartphone or tablet  so that if i am in another room and need to lower the temperature I am able to do that.</t>
        </is>
      </c>
    </row>
    <row r="56">
      <c r="A56" t="n">
        <v>78</v>
      </c>
      <c r="B56" t="inlineStr">
        <is>
          <t>As a music appreciator I want the ability to listen to my music in every room in the house simultaneously so that parties will be funner and my party guests will be better entertained..</t>
        </is>
      </c>
    </row>
    <row r="57">
      <c r="A57" t="n">
        <v>80</v>
      </c>
      <c r="B57" t="inlineStr">
        <is>
          <t>As a home owner I want to be able to control the oven with an app on my smartphone or tablet so that I may preheat the oven from another room or lower the temperature if needed without having to go to the actual appliance.</t>
        </is>
      </c>
    </row>
    <row r="58">
      <c r="A58" t="n">
        <v>82</v>
      </c>
      <c r="B58" t="inlineStr">
        <is>
          <t>As a person who needs sleep I want my smart home to make my bedroom the optimal temperature and lighting both when I go to sleep, and when I awaken so that I will have the optimal conditions for a good night's sleep..</t>
        </is>
      </c>
    </row>
    <row r="59">
      <c r="A59" t="n">
        <v>83</v>
      </c>
      <c r="B59" t="inlineStr">
        <is>
          <t>As a home occupant I want outdoor motion sensors so that Trespassers can be identified.</t>
        </is>
      </c>
    </row>
    <row r="60">
      <c r="A60" t="n">
        <v>84</v>
      </c>
      <c r="B60" t="inlineStr">
        <is>
          <t>As a home owner I want to be able to open the garage door with my smartphone/tablet so that I don't have to go down to the garage to close it if I forget .</t>
        </is>
      </c>
    </row>
    <row r="61">
      <c r="A61" t="n">
        <v>85</v>
      </c>
      <c r="B61" t="inlineStr">
        <is>
          <t>As a student I want my smartphone to silence notifications (sounds, doorbells, TVs, etc.) unless it is an emergency so that I can study.</t>
        </is>
      </c>
    </row>
    <row r="62">
      <c r="A62" t="n">
        <v>86</v>
      </c>
      <c r="B62" t="inlineStr">
        <is>
          <t>As a home occupant I want air purity controller so that it detects pollution and sensors get active .</t>
        </is>
      </c>
    </row>
    <row r="63">
      <c r="A63" t="n">
        <v>87</v>
      </c>
      <c r="B63" t="inlineStr">
        <is>
          <t>As a movie watcher I want my smart home to make recommendations when new movies come out that match my viewing habits so that I will benefit from movie suggestions that I will probably enjoy..</t>
        </is>
      </c>
    </row>
    <row r="64">
      <c r="A64" t="n">
        <v>88</v>
      </c>
      <c r="B64" t="inlineStr">
        <is>
          <t>As a home occupant I want the electricity switches off when no one is inside the room so that there will be a big saving on electricity bills.</t>
        </is>
      </c>
    </row>
    <row r="65">
      <c r="A65" t="n">
        <v>89</v>
      </c>
      <c r="B65" t="inlineStr">
        <is>
          <t>As a student I want my smartphone to create an environment (lighting, sound, temperature)  so that I can study.</t>
        </is>
      </c>
    </row>
    <row r="66">
      <c r="A66" t="n">
        <v>90</v>
      </c>
      <c r="B66" t="inlineStr">
        <is>
          <t>As a home occupant I want a smart thermostat so that it can manage energy efficiently and predict what type of temperatures we prefer at different times of the year.</t>
        </is>
      </c>
    </row>
    <row r="67">
      <c r="A67" t="n">
        <v>91</v>
      </c>
      <c r="B67" t="inlineStr">
        <is>
          <t>As a pet owner I want my smart home to clean the floors regularly so that the house is clean.</t>
        </is>
      </c>
    </row>
    <row r="68">
      <c r="A68" t="n">
        <v>92</v>
      </c>
      <c r="B68" t="inlineStr">
        <is>
          <t>As a music lover I want the radio system to adjust volume based on the distance of the people so that avoids the use of remote control and saves battery.</t>
        </is>
      </c>
    </row>
    <row r="69">
      <c r="A69" t="n">
        <v>93</v>
      </c>
      <c r="B69" t="inlineStr">
        <is>
          <t>As a home occupant I want a smart coffee machine so that my coffee will be ready in the morning when i ask it to be without having to deal with making it myself.</t>
        </is>
      </c>
    </row>
    <row r="70">
      <c r="A70" t="n">
        <v>94</v>
      </c>
      <c r="B70" t="inlineStr">
        <is>
          <t>As a pet owner I want my smart home to feed and water the pets on a schedule so that they are taken care of routinely.</t>
        </is>
      </c>
    </row>
    <row r="71">
      <c r="A71" t="n">
        <v>95</v>
      </c>
      <c r="B71" t="inlineStr">
        <is>
          <t>As a home occupant I want a robot to clean windows so that I dont have to risk hurting myself to wash windows in dangerous places .</t>
        </is>
      </c>
    </row>
    <row r="72">
      <c r="A72" t="n">
        <v>96</v>
      </c>
      <c r="B72" t="inlineStr">
        <is>
          <t>As a home occupant I want the central a/c system to switch between cooling and heating based on temperature so that there will be no need to manually adjust the system.</t>
        </is>
      </c>
    </row>
    <row r="73">
      <c r="A73" t="n">
        <v>99</v>
      </c>
      <c r="B73" t="inlineStr">
        <is>
          <t>As a home occupant I want a smart shower so that I can save energy while using it as efficiently as possible.</t>
        </is>
      </c>
    </row>
    <row r="74">
      <c r="A74" t="n">
        <v>100</v>
      </c>
      <c r="B74" t="inlineStr">
        <is>
          <t>As a parent I want the door look to have an automated alarm when someone leaves or enters the room so that i can monitor my young child movements at night.</t>
        </is>
      </c>
    </row>
    <row r="75">
      <c r="A75" t="n">
        <v>103</v>
      </c>
      <c r="B75" t="inlineStr">
        <is>
          <t>As a home occupant I want smart carbon monoxide detectors so that I can see the amount of carbon monoxide in each room in my house on a smartphone/tablet while I'm away from my home to make sure my family is ok.</t>
        </is>
      </c>
    </row>
    <row r="76">
      <c r="A76" t="n">
        <v>106</v>
      </c>
      <c r="B76" t="inlineStr">
        <is>
          <t>As a parent I want i want my smart home to buzz when my child is close to an object that can potentially fall so that i want my smart home to make dog barking sound when a person .</t>
        </is>
      </c>
    </row>
    <row r="77">
      <c r="A77" t="n">
        <v>108</v>
      </c>
      <c r="B77" t="inlineStr">
        <is>
          <t>As a home occupant I want the vacuum cleaner to run automated on scheduled timings so that it would help in forgetting to manually vacuum.</t>
        </is>
      </c>
    </row>
    <row r="78">
      <c r="A78" t="n">
        <v>110</v>
      </c>
      <c r="B78" t="inlineStr">
        <is>
          <t>As a home occupant I want a smart touchscreen tv implanted in the wall of each room so that I can control each room uniquely and separately. If i want to play music in that room or watch a show I can etc.</t>
        </is>
      </c>
    </row>
    <row r="79">
      <c r="A79" t="n">
        <v>112</v>
      </c>
      <c r="B79" t="inlineStr">
        <is>
          <t>As a tech lover I want a wireless charger for my devices so that it wirelessly charges the devices when it falls below the battery limit.</t>
        </is>
      </c>
    </row>
    <row r="80">
      <c r="A80" t="n">
        <v>114</v>
      </c>
      <c r="B80" t="inlineStr">
        <is>
          <t>As a home occupant I want an app to control the shades/blinds on my windows  so that I can control them easily at home or while I'm out incase I forgot to close one.</t>
        </is>
      </c>
    </row>
    <row r="81">
      <c r="A81" t="n">
        <v>115</v>
      </c>
      <c r="B81" t="inlineStr">
        <is>
          <t>As a home occupant I want a device that organizes the kitchen items and gives an alarm or places the order when it falls below the limit so that i benefit of not forgetting to stock the fruits and vegetables.</t>
        </is>
      </c>
    </row>
    <row r="82">
      <c r="A82" t="n">
        <v>121</v>
      </c>
      <c r="B82" t="inlineStr">
        <is>
          <t>As a home occupant I want Adjust temperature in room, based on my location (if near, turn on heater/cooler, if far from home turn of) so that Cut energy cost .</t>
        </is>
      </c>
    </row>
    <row r="83">
      <c r="A83" t="n">
        <v>122</v>
      </c>
      <c r="B83" t="inlineStr">
        <is>
          <t>As a home occupant I want a learning thermostat so that my home will be energy efficient and comfortable.</t>
        </is>
      </c>
    </row>
    <row r="84">
      <c r="A84" t="n">
        <v>123</v>
      </c>
      <c r="B84" t="inlineStr">
        <is>
          <t>As a home owner I want to be notified if I accidentally leave the stove or oven on so that my family will be safer from fire and carbon monoxide poisioning. .</t>
        </is>
      </c>
    </row>
    <row r="85">
      <c r="A85" t="n">
        <v>124</v>
      </c>
      <c r="B85" t="inlineStr">
        <is>
          <t>As a home occupant I want an automatic garage door opener so that it's easier and safer to get in and out.</t>
        </is>
      </c>
    </row>
    <row r="86">
      <c r="A86" t="n">
        <v>125</v>
      </c>
      <c r="B86" t="inlineStr">
        <is>
          <t>As a i am I want i want any time my room is weather adjustment  so that so  i am always relax my home.</t>
        </is>
      </c>
    </row>
    <row r="87">
      <c r="A87" t="n">
        <v>126</v>
      </c>
      <c r="B87" t="inlineStr">
        <is>
          <t>As a music lover I want my room lighting to change lighting effect based on the time of day so that i benefit on a pleasant mood everytime.</t>
        </is>
      </c>
    </row>
    <row r="88">
      <c r="A88" t="n">
        <v>127</v>
      </c>
      <c r="B88" t="inlineStr">
        <is>
          <t>As a home occupant I want smart locks so that my home is secure.</t>
        </is>
      </c>
    </row>
    <row r="89">
      <c r="A89" t="n">
        <v>128</v>
      </c>
      <c r="B89" t="inlineStr">
        <is>
          <t>As a home occupant I want a smart device that sends out photos of person who enter through the main gate so that i would know who have come to home while we are away.</t>
        </is>
      </c>
    </row>
    <row r="90">
      <c r="A90" t="n">
        <v>129</v>
      </c>
      <c r="B90" t="inlineStr">
        <is>
          <t>As a home occupant I want My smart home to alert me via a specific sound and a text message via mobile phone that someone has approached my car positioned in my driveway. so that vehicle-related thefts can be minimized either when we are home or are not..</t>
        </is>
      </c>
    </row>
    <row r="91">
      <c r="A91" t="n">
        <v>130</v>
      </c>
      <c r="B91" t="inlineStr">
        <is>
          <t>As a home occupant I want to unlock the door from a remote location that has an alert with video feed so that the kids don't need to wait when they get to home.</t>
        </is>
      </c>
    </row>
    <row r="92">
      <c r="A92" t="n">
        <v>131</v>
      </c>
      <c r="B92" t="inlineStr">
        <is>
          <t>As a home occupant I want smart window cleaners so that I don't have to do that chore.</t>
        </is>
      </c>
    </row>
    <row r="93">
      <c r="A93" t="n">
        <v>132</v>
      </c>
      <c r="B93" t="inlineStr">
        <is>
          <t>As a home occupant I want a device that greets and welcomes guests at the doorstep so that our guests would feel humbled by its gesture.</t>
        </is>
      </c>
    </row>
    <row r="94">
      <c r="A94" t="n">
        <v>134</v>
      </c>
      <c r="B94" t="inlineStr">
        <is>
          <t>As a home occupant I want outdoor motion detectors so that I have an added measure of security of the property.</t>
        </is>
      </c>
    </row>
    <row r="95">
      <c r="A95" t="n">
        <v>136</v>
      </c>
      <c r="B95" t="inlineStr">
        <is>
          <t>As a home occupant I want Doors automaticaly lock / relock if I'm near it (NFC, IR bracelet, or something similar) so that no need to use key.</t>
        </is>
      </c>
    </row>
    <row r="96">
      <c r="A96" t="n">
        <v>137</v>
      </c>
      <c r="B96" t="inlineStr">
        <is>
          <t>As a home occupant I want smart breakfast appliances so that it will save me time in the morning..</t>
        </is>
      </c>
    </row>
    <row r="97">
      <c r="A97" t="n">
        <v>138</v>
      </c>
      <c r="B97" t="inlineStr">
        <is>
          <t>As a home occupant I want my smart home  to to turn on the tv when I get home so that I can relax as soon as possible.</t>
        </is>
      </c>
    </row>
    <row r="98">
      <c r="A98" t="n">
        <v>139</v>
      </c>
      <c r="B98" t="inlineStr">
        <is>
          <t>As a home occupant I want window sensors so that I'm aware if a window is open and letting cold/hot air in.</t>
        </is>
      </c>
    </row>
    <row r="99">
      <c r="A99" t="n">
        <v>141</v>
      </c>
      <c r="B99" t="inlineStr">
        <is>
          <t>As a health conscious person I want to be notified by my smarthome of the present air quality in my home. so that my family will have fewer respiratory issues and better overall health. .</t>
        </is>
      </c>
    </row>
    <row r="100">
      <c r="A100" t="n">
        <v>142</v>
      </c>
      <c r="B100" t="inlineStr">
        <is>
          <t>As a home occupant I want integrated smart electronics so that I only need one remote and devices are easy to operate.</t>
        </is>
      </c>
    </row>
    <row r="101">
      <c r="A101" t="n">
        <v>143</v>
      </c>
      <c r="B101" t="inlineStr">
        <is>
          <t>As a home occupant I want House vacuum clean itself when I'm not home (like integrated roomba vacuum cleaner) so that no need to manualy clean.</t>
        </is>
      </c>
    </row>
    <row r="102">
      <c r="A102" t="n">
        <v>144</v>
      </c>
      <c r="B102" t="inlineStr">
        <is>
          <t>As a parent I want my smart home to play a warning sound when my child is close to the stove so that he won't burn himself.</t>
        </is>
      </c>
    </row>
    <row r="103">
      <c r="A103" t="n">
        <v>145</v>
      </c>
      <c r="B103" t="inlineStr">
        <is>
          <t>As a home occupant I want a robot cleaner so that I will not need to wash the floor and sweep myself.</t>
        </is>
      </c>
    </row>
    <row r="104">
      <c r="A104" t="n">
        <v>146</v>
      </c>
      <c r="B104" t="inlineStr">
        <is>
          <t>As a parent I want my smart home to lower the thermostat at night so that I can save expenses paid for air conditioning.</t>
        </is>
      </c>
    </row>
    <row r="105">
      <c r="A105" t="n">
        <v>147</v>
      </c>
      <c r="B105" t="inlineStr">
        <is>
          <t>As a home occupant I want smart lights so that they are scheduled to dim at night or turn off when no one is in the room.</t>
        </is>
      </c>
    </row>
    <row r="106">
      <c r="A106" t="n">
        <v>148</v>
      </c>
      <c r="B106" t="inlineStr">
        <is>
          <t>As a children I want my child don't fear for dark nights  so that my child get a peaceful dreams.</t>
        </is>
      </c>
    </row>
    <row r="107">
      <c r="A107" t="n">
        <v>149</v>
      </c>
      <c r="B107" t="inlineStr">
        <is>
          <t>As a parent I want my smart home to play a lullaby at bed time so that I don't have to sing my children to sleep.</t>
        </is>
      </c>
    </row>
    <row r="108">
      <c r="A108" t="n">
        <v>150</v>
      </c>
      <c r="B108" t="inlineStr">
        <is>
          <t>As a home occupant I want save my home energy  so that the sensors save the home energy .</t>
        </is>
      </c>
    </row>
    <row r="109">
      <c r="A109" t="n">
        <v>151</v>
      </c>
      <c r="B109" t="inlineStr">
        <is>
          <t>As a home occupant I want my smart TV to switch to the sports channel when the sports game begins so that I don't miss the game.</t>
        </is>
      </c>
    </row>
    <row r="110">
      <c r="A110" t="n">
        <v>152</v>
      </c>
      <c r="B110" t="inlineStr">
        <is>
          <t>As a home occupant I want Home automatically heats precooked meal based on approximate of arrival (based on GPS location) so that no need to manually cook / heat meal .</t>
        </is>
      </c>
    </row>
    <row r="111">
      <c r="A111" t="n">
        <v>153</v>
      </c>
      <c r="B111" t="inlineStr">
        <is>
          <t>As a occupant I want Room thermostats so that It Can indicate the outside temperature and room temperature as well so that i can well prepared for it in advance.</t>
        </is>
      </c>
    </row>
    <row r="112">
      <c r="A112" t="n">
        <v>154</v>
      </c>
      <c r="B112" t="inlineStr">
        <is>
          <t>As a person who is introverted I want my smart house to screen all forms of communication including visitors so that I can focus on what is important at the moment.</t>
        </is>
      </c>
    </row>
    <row r="113">
      <c r="A113" t="n">
        <v>155</v>
      </c>
      <c r="B113" t="inlineStr">
        <is>
          <t>As a person concerned with safety I want my smart home to actively and proactively secure itself so that my family and I feel safe, even if we forget to lock a window.</t>
        </is>
      </c>
    </row>
    <row r="114">
      <c r="A114" t="n">
        <v>156</v>
      </c>
      <c r="B114" t="inlineStr">
        <is>
          <t>As a home occupant I want my smart home to alert me when I am about to run out of medication so that I will never run out of mediaction.</t>
        </is>
      </c>
    </row>
    <row r="115">
      <c r="A115" t="n">
        <v>157</v>
      </c>
      <c r="B115" t="inlineStr">
        <is>
          <t>As a parent I want Lights in child bedroom can be controlled automatically, or can be programed so that kids sleep earlier.</t>
        </is>
      </c>
    </row>
    <row r="116">
      <c r="A116" t="n">
        <v>160</v>
      </c>
      <c r="B116" t="inlineStr">
        <is>
          <t>As a home occupant I want my smart home to turn on the sprinkers when there is a fire so that the house won't burn down.</t>
        </is>
      </c>
    </row>
    <row r="117">
      <c r="A117" t="n">
        <v>161</v>
      </c>
      <c r="B117" t="inlineStr">
        <is>
          <t>As a movie lover I want a projector mounted on the wall that has wifi capabilities to connect to video streaming services (Netflix etc) so that my family can be entertained without having to fumble with several different electronics. .</t>
        </is>
      </c>
    </row>
    <row r="118">
      <c r="A118" t="n">
        <v>162</v>
      </c>
      <c r="B118" t="inlineStr">
        <is>
          <t>As a dancer I want my smart house to convert a room (move furniture, have mirrors, and have a place for media) so that I can exercise and practice for more time rather than rearrange a room on a daily basis.</t>
        </is>
      </c>
    </row>
    <row r="119">
      <c r="A119" t="n">
        <v>163</v>
      </c>
      <c r="B119" t="inlineStr">
        <is>
          <t>As a home occupant I want my smart home to play my favorite music at 7:45 AM so that I can wake up listening to my favorite music.</t>
        </is>
      </c>
    </row>
    <row r="120">
      <c r="A120" t="n">
        <v>165</v>
      </c>
      <c r="B120" t="inlineStr">
        <is>
          <t>As a person who wants green energy I want my smart home to monitor energy use and excess so that we can determine how to be more conscientious of what we use.</t>
        </is>
      </c>
    </row>
    <row r="121">
      <c r="A121" t="n">
        <v>166</v>
      </c>
      <c r="B121" t="inlineStr">
        <is>
          <t>As a home occupant I want my smart home to alert me when there is more than one person in the house so that I would know if someone is breaking in.</t>
        </is>
      </c>
    </row>
    <row r="122">
      <c r="A122" t="n">
        <v>167</v>
      </c>
      <c r="B122" t="inlineStr">
        <is>
          <t>As a energy conscious consumer I want the ability to turn off/on lights in different rooms with voice commands. so that I can save energy without having to physically walk over to the room..</t>
        </is>
      </c>
    </row>
    <row r="123">
      <c r="A123" t="n">
        <v>168</v>
      </c>
      <c r="B123" t="inlineStr">
        <is>
          <t>As a parent I want my smart home to alert me when my children are not home by their usual time so that I will know if they have gone missing.</t>
        </is>
      </c>
    </row>
    <row r="124">
      <c r="A124" t="n">
        <v>169</v>
      </c>
      <c r="B124" t="inlineStr">
        <is>
          <t>As a person who lives where hurricanes hit I want my smart home to activate safety features such as window coverings so that the house is safer during inclement weather.</t>
        </is>
      </c>
    </row>
    <row r="125">
      <c r="A125" t="n">
        <v>170</v>
      </c>
      <c r="B125" t="inlineStr">
        <is>
          <t>As a home occupant I want Bed automatically makes itself for sleeping and after sleeping so that no need to occupant manually make bed.</t>
        </is>
      </c>
    </row>
    <row r="126">
      <c r="A126" t="n">
        <v>171</v>
      </c>
      <c r="B126" t="inlineStr">
        <is>
          <t>As a responsible pet owner I want to be notified when my dog enters and exits my home  so that I can be aware of my dog's whereabouts at all times and therefore be a more responsible pet owner..</t>
        </is>
      </c>
    </row>
    <row r="127">
      <c r="A127" t="n">
        <v>173</v>
      </c>
      <c r="B127" t="inlineStr">
        <is>
          <t>As a person who lives with family members I want my smart home to remember entertainment preferences, such as music or videos so that one does not need to bring a laptop into each room.</t>
        </is>
      </c>
    </row>
    <row r="128">
      <c r="A128" t="n">
        <v>174</v>
      </c>
      <c r="B128" t="inlineStr">
        <is>
          <t>As a home occupant I want home automatically check air quality (for elegant, dust, soot etc) and try to improve quality level by automatic intake of fresh air so that air quality is on good level.</t>
        </is>
      </c>
    </row>
    <row r="129">
      <c r="A129" t="n">
        <v>175</v>
      </c>
      <c r="B129" t="inlineStr">
        <is>
          <t>As a parent I want Get early notification when kids are back from school (based on GPS location) so that know precisely when they arrive.</t>
        </is>
      </c>
    </row>
    <row r="130">
      <c r="A130" t="n">
        <v>176</v>
      </c>
      <c r="B130" t="inlineStr">
        <is>
          <t>As a home occupant I want My smart home to capture a picture and alert me via a specific sound and a text message via mobile phone when a vehicle enters my driveway so that home and/or vehicle-related thefts can be minimized either when we are home or are not.</t>
        </is>
      </c>
    </row>
    <row r="131">
      <c r="A131" t="n">
        <v>177</v>
      </c>
      <c r="B131" t="inlineStr">
        <is>
          <t>As a home occupant I want garage door open automatically when I arive with my car so that no need to manually open garage dors.</t>
        </is>
      </c>
    </row>
    <row r="132">
      <c r="A132" t="n">
        <v>178</v>
      </c>
      <c r="B132" t="inlineStr">
        <is>
          <t>As a decision maker of home I want my smart home to automatically switch off/on electric gadgets like bulbs, fans, ACs when a person move out or move in the particular affected region of particular gadget. so that so that both energy and money can be saved.</t>
        </is>
      </c>
    </row>
    <row r="133">
      <c r="A133" t="n">
        <v>180</v>
      </c>
      <c r="B133" t="inlineStr">
        <is>
          <t>As a home occupant I want Fence doors automatically unlock and open when i arrive by foot or by car so that no need to manually open / close or lock / unclok.</t>
        </is>
      </c>
    </row>
    <row r="134">
      <c r="A134" t="n">
        <v>181</v>
      </c>
      <c r="B134" t="inlineStr">
        <is>
          <t>As a decision maker of home I want my smart home to auto start video recording and sending the same to smarthome when a theft approaches inside home so that so that so that I can quickly complain the same with sufficient proof to appropriate authorities.</t>
        </is>
      </c>
    </row>
    <row r="135">
      <c r="A135" t="n">
        <v>183</v>
      </c>
      <c r="B135" t="inlineStr">
        <is>
          <t>As a home occupant I want turn electronic devices on or off from anywhere I have an Internet connection. so that I can save energy.</t>
        </is>
      </c>
    </row>
    <row r="136">
      <c r="A136" t="n">
        <v>184</v>
      </c>
      <c r="B136" t="inlineStr">
        <is>
          <t>As a health couscous person I want my smart home to sense and inform small or tiny movable living things like mosquitoes, termites. so that so that so that we can take appropriate steps to discard them in order to free from material or health loss.</t>
        </is>
      </c>
    </row>
    <row r="137">
      <c r="A137" t="n">
        <v>185</v>
      </c>
      <c r="B137" t="inlineStr">
        <is>
          <t>As a home owner I want to protect my objects  so that my things wont get stolen .</t>
        </is>
      </c>
    </row>
    <row r="138">
      <c r="A138" t="n">
        <v>186</v>
      </c>
      <c r="B138" t="inlineStr">
        <is>
          <t>As a home occupant I want my smart home to alert me via a specific sound and a text message via mobile phone when a personal parcel package is delivered to my door so that parcel package-related thefts can be minimized either when we are home or are not.</t>
        </is>
      </c>
    </row>
    <row r="139">
      <c r="A139" t="n">
        <v>187</v>
      </c>
      <c r="B139" t="inlineStr">
        <is>
          <t>As a home owner I want my smart home to alarm me if danger so that I can be safe.</t>
        </is>
      </c>
    </row>
    <row r="140">
      <c r="A140" t="n">
        <v>188</v>
      </c>
      <c r="B140" t="inlineStr">
        <is>
          <t>As a home owner I want my smart home to automatically open doors to those whose faces are already registered in system so that so that so that I don't need to open doors manually..</t>
        </is>
      </c>
    </row>
    <row r="141">
      <c r="A141" t="n">
        <v>190</v>
      </c>
      <c r="B141" t="inlineStr">
        <is>
          <t>As a parent I want my smart house to contact the police so that I can be safe if my home is broken into .</t>
        </is>
      </c>
    </row>
    <row r="142">
      <c r="A142" t="n">
        <v>191</v>
      </c>
      <c r="B142" t="inlineStr">
        <is>
          <t>As a home occupant I want I want my smart-home to take picture of persons coming near to outside doors between 8 pm to 6 am.And a mobile alert same time. so that So that i can recognize unknown persons ..</t>
        </is>
      </c>
    </row>
    <row r="143">
      <c r="A143" t="n">
        <v>192</v>
      </c>
      <c r="B143" t="inlineStr">
        <is>
          <t>As a parent I want my smart home to film the house  so that I can catch intruders on camera in case of court. .</t>
        </is>
      </c>
    </row>
    <row r="144">
      <c r="A144" t="n">
        <v>193</v>
      </c>
      <c r="B144" t="inlineStr">
        <is>
          <t>As a home owner I want switch on any lights automatically when dark falls and switch off in the morning automatically. so that I can save electricity.</t>
        </is>
      </c>
    </row>
    <row r="145">
      <c r="A145" t="n">
        <v>194</v>
      </c>
      <c r="B145" t="inlineStr">
        <is>
          <t>As a home owner I want my smart house to have solar panels so that I can save money on electricity .</t>
        </is>
      </c>
    </row>
    <row r="146">
      <c r="A146" t="n">
        <v>195</v>
      </c>
      <c r="B146" t="inlineStr">
        <is>
          <t>As a home owner I want my smart home to shut off the air when the room is at the right temperature  so that I can save money on bills .</t>
        </is>
      </c>
    </row>
    <row r="147">
      <c r="A147" t="n">
        <v>196</v>
      </c>
      <c r="B147" t="inlineStr">
        <is>
          <t>As a home owner I want my smart home to tell me if food is spoiled in the fridge so that i dont eat old food.</t>
        </is>
      </c>
    </row>
    <row r="148">
      <c r="A148" t="n">
        <v>197</v>
      </c>
      <c r="B148" t="inlineStr">
        <is>
          <t>As a home owner I want my smart home to tell me the bacteria percentage in my home so that I know when to disinfect .</t>
        </is>
      </c>
    </row>
    <row r="149">
      <c r="A149" t="n">
        <v>198</v>
      </c>
      <c r="B149" t="inlineStr">
        <is>
          <t>As a occupant I want Revolv (central automation device ) so that When we are using  too many home automation devices, opening the right app for the right device can become difficult and counterproductive. This time Revolv become the central automation device for my home.  Just put this device in centre of  home and  connect to  Wi-Fi then let it scan for  other home automation devices. Even if it fails to locate them, we can manually add them through the Revolv app too..</t>
        </is>
      </c>
    </row>
    <row r="150">
      <c r="A150" t="n">
        <v>199</v>
      </c>
      <c r="B150" t="inlineStr">
        <is>
          <t>As a home owner I want my smart home to lock all doors at once  so that I dont have to worry about locking all the doors. .</t>
        </is>
      </c>
    </row>
    <row r="151">
      <c r="A151" t="n">
        <v>200</v>
      </c>
      <c r="B151" t="inlineStr">
        <is>
          <t>As a wife I want my smart home to automatically open windows with the help of remote control so that smoke can be emit quickly.</t>
        </is>
      </c>
    </row>
    <row r="152">
      <c r="A152" t="n">
        <v>201</v>
      </c>
      <c r="B152" t="inlineStr">
        <is>
          <t>As a home occupant I want my smart home to capture a picture, open a communication channel, and alert me via a specific sound and a text message via mobile phone when a person rings my doorbell or knocks on my front or rear door so that I may know and may communicate with visitors to my home without having to approach or to open the doors in question.</t>
        </is>
      </c>
    </row>
    <row r="153">
      <c r="A153" t="n">
        <v>202</v>
      </c>
      <c r="B153" t="inlineStr">
        <is>
          <t>As a home occupant I want my smart home to take photographs of person and message photo to my mobile phone when he approaches the main door. so that thefts can be reduced.</t>
        </is>
      </c>
    </row>
    <row r="154">
      <c r="A154" t="n">
        <v>204</v>
      </c>
      <c r="B154" t="inlineStr">
        <is>
          <t>As a student I want my smart home to have a system which can remind me to do a pre manage lists of a day or night so that I can't miss any less important task.</t>
        </is>
      </c>
    </row>
    <row r="155">
      <c r="A155" t="n">
        <v>205</v>
      </c>
      <c r="B155" t="inlineStr">
        <is>
          <t>As a parent I want my smarthome to switch off All the bulbs after 10 pm automaticaly so that we can save wastage of electricity.</t>
        </is>
      </c>
    </row>
    <row r="156">
      <c r="A156" t="n">
        <v>206</v>
      </c>
      <c r="B156" t="inlineStr">
        <is>
          <t>As a home occupant I want Lights in the front side of my home is on when I am out of station. so that thieves will think that people is there in the house..</t>
        </is>
      </c>
    </row>
    <row r="157">
      <c r="A157" t="n">
        <v>207</v>
      </c>
      <c r="B157" t="inlineStr">
        <is>
          <t>As a home owner I want my smart home to inform me quickly when my solar water heater does heat water so that I don't need to go everytime in bathroom to check the hotness of water.</t>
        </is>
      </c>
    </row>
    <row r="158">
      <c r="A158" t="n">
        <v>208</v>
      </c>
      <c r="B158" t="inlineStr">
        <is>
          <t>As a home occupant I want to secure my house and my family when there is a gas leakage. so that I am tension free..</t>
        </is>
      </c>
    </row>
    <row r="159">
      <c r="A159" t="n">
        <v>209</v>
      </c>
      <c r="B159" t="inlineStr">
        <is>
          <t>As a home occupant I want I want to get the Airconditioner off,when the room is empty so that I can save energy.</t>
        </is>
      </c>
    </row>
    <row r="160">
      <c r="A160" t="n">
        <v>210</v>
      </c>
      <c r="B160" t="inlineStr">
        <is>
          <t>As a parent I want to switch off TV, Radio and other Leisure gadgets after 10 pm  so that no energy is wasted and consume the overuse of electricity.</t>
        </is>
      </c>
    </row>
    <row r="161">
      <c r="A161" t="n">
        <v>211</v>
      </c>
      <c r="B161" t="inlineStr">
        <is>
          <t>As a a parents I want I want to block strangers from entering my house when the child is alone. so that I am tension free..</t>
        </is>
      </c>
    </row>
    <row r="162">
      <c r="A162" t="n">
        <v>213</v>
      </c>
      <c r="B162" t="inlineStr">
        <is>
          <t>As a home occupant I want I want to secure my house during night. so that I can sleep peacefully.</t>
        </is>
      </c>
    </row>
    <row r="163">
      <c r="A163" t="n">
        <v>214</v>
      </c>
      <c r="B163" t="inlineStr">
        <is>
          <t>As a home occupant I want Keyless Digital Door Lock so that I don't have to carry keys with me..</t>
        </is>
      </c>
    </row>
    <row r="164">
      <c r="A164" t="n">
        <v>215</v>
      </c>
      <c r="B164" t="inlineStr">
        <is>
          <t>As a home occupant I want control my shower''s temperature, spray, steam, audio, and lighting of the shower. so that I can save energy.</t>
        </is>
      </c>
    </row>
    <row r="165">
      <c r="A165" t="n">
        <v>216</v>
      </c>
      <c r="B165" t="inlineStr">
        <is>
          <t>As a home occupant I want Innovative controls in my kitchen so that so that cooking is energy saving &amp; easy .</t>
        </is>
      </c>
    </row>
    <row r="166">
      <c r="A166" t="n">
        <v>217</v>
      </c>
      <c r="B166" t="inlineStr">
        <is>
          <t>As a home occupant I want control the temperature in my room. so that I can save energy.</t>
        </is>
      </c>
    </row>
    <row r="167">
      <c r="A167" t="n">
        <v>218</v>
      </c>
      <c r="B167" t="inlineStr">
        <is>
          <t>As a home owner I want my smart home to automatically start radio in specific timings  so that I can't miss any favorite radio songs .</t>
        </is>
      </c>
    </row>
    <row r="168">
      <c r="A168" t="n">
        <v>219</v>
      </c>
      <c r="B168" t="inlineStr">
        <is>
          <t>As a home occupant I want my smart home to automatically open and close my garage door when I approach and leave my home in my car so that vehicle-related weather protection can be maximized, and vehicle thefts can be minimized .</t>
        </is>
      </c>
    </row>
    <row r="169">
      <c r="A169" t="n">
        <v>220</v>
      </c>
      <c r="B169" t="inlineStr">
        <is>
          <t>As a home occupant I want giving voice commands to equipments so that i am relaxed.</t>
        </is>
      </c>
    </row>
    <row r="170">
      <c r="A170" t="n">
        <v>221</v>
      </c>
      <c r="B170" t="inlineStr">
        <is>
          <t>As a parent I want my smarthome clock to alert my child to eat food at regular and correct time so that my child can look after his health properly.</t>
        </is>
      </c>
    </row>
    <row r="171">
      <c r="A171" t="n">
        <v>222</v>
      </c>
      <c r="B171" t="inlineStr">
        <is>
          <t>As a single woman I want alarms to go off when movement is triggered so that i can feel safe in my home alone..</t>
        </is>
      </c>
    </row>
    <row r="172">
      <c r="A172" t="n">
        <v>223</v>
      </c>
      <c r="B172" t="inlineStr">
        <is>
          <t>As a owner I want Net alarm system ('smarter' home security system) so that As part of the system, window and door fixtures contain motion sensors which alert us when there is a trigger through an accompanying application. This system is easy to set up and connect to  smartphone, and also comes with a keychain hob which allows users to remotely alarm and disarm a system -- as well as a 'panic' button, which if pressed, alerts the connected smartphone to the call for help.</t>
        </is>
      </c>
    </row>
    <row r="173">
      <c r="A173" t="n">
        <v>224</v>
      </c>
      <c r="B173" t="inlineStr">
        <is>
          <t>As a single woman I want motion lights so that I can see any intruders at night as they approach..</t>
        </is>
      </c>
    </row>
    <row r="174">
      <c r="A174" t="n">
        <v>225</v>
      </c>
      <c r="B174" t="inlineStr">
        <is>
          <t>As a mother I want my coffeemaker to start automatically so that my coffee will be ready when I go to wake my son up early in the morning..</t>
        </is>
      </c>
    </row>
    <row r="175">
      <c r="A175" t="n">
        <v>226</v>
      </c>
      <c r="B175" t="inlineStr">
        <is>
          <t>As a home owner I want my smart home to have fans whose speed vary with external environment  so that both energy and money can be saved.</t>
        </is>
      </c>
    </row>
    <row r="176">
      <c r="A176" t="n">
        <v>227</v>
      </c>
      <c r="B176" t="inlineStr">
        <is>
          <t>As a mother I want automatic alarms to go off when smoke detectors are triggered so that I know my kids are safe..</t>
        </is>
      </c>
    </row>
    <row r="177">
      <c r="A177" t="n">
        <v>228</v>
      </c>
      <c r="B177" t="inlineStr">
        <is>
          <t>As a parent I want my washing machine to automatically turn off when the washing is finished so that No wastage of electricity and energy is happening.</t>
        </is>
      </c>
    </row>
    <row r="178">
      <c r="A178" t="n">
        <v>229</v>
      </c>
      <c r="B178" t="inlineStr">
        <is>
          <t>As a mother I want carbon monoxide detectors with self-testing capacity so that I know my alarms are on and functioning to keep my kids safe..</t>
        </is>
      </c>
    </row>
    <row r="179">
      <c r="A179" t="n">
        <v>230</v>
      </c>
      <c r="B179" t="inlineStr">
        <is>
          <t>As a bill payer I want lights to automatically turn off when no motion is detected in a room so that I will save on bills..</t>
        </is>
      </c>
    </row>
    <row r="180">
      <c r="A180" t="n">
        <v>231</v>
      </c>
      <c r="B180" t="inlineStr">
        <is>
          <t>As a parent I want to keep a buzz on electric wires and other sockets so that my children is alerted when touching them accidently.</t>
        </is>
      </c>
    </row>
    <row r="181">
      <c r="A181" t="n">
        <v>232</v>
      </c>
      <c r="B181" t="inlineStr">
        <is>
          <t>As a bill payer I want a thermostat that learns my schedule and self-adjusts so that I know I am saving as much as possible on my home heating costs..</t>
        </is>
      </c>
    </row>
    <row r="182">
      <c r="A182" t="n">
        <v>233</v>
      </c>
      <c r="B182" t="inlineStr">
        <is>
          <t>As a occupant I want Multipurpose bathroom appliace like shower so that It can automatically sense the room temperature and  according to temperature ,it change the temperature of water so that we will not have any discomfort while bathing..</t>
        </is>
      </c>
    </row>
    <row r="183">
      <c r="A183" t="n">
        <v>234</v>
      </c>
      <c r="B183" t="inlineStr">
        <is>
          <t>As a mother I want an oven that preheats at set intervals so that I can be ready to cook dinner when I get my son home from school..</t>
        </is>
      </c>
    </row>
    <row r="184">
      <c r="A184" t="n">
        <v>235</v>
      </c>
      <c r="B184" t="inlineStr">
        <is>
          <t>As a home owner I want my smart home to have dynamic solar panels which can be set just opposite to the sun so that so that maximum electricity can be generated. .</t>
        </is>
      </c>
    </row>
    <row r="185">
      <c r="A185" t="n">
        <v>236</v>
      </c>
      <c r="B185" t="inlineStr">
        <is>
          <t>As a home occupant I want A/C automatically maintain the perfect temperature by calculating  past usage patterns. so that can be save on energy costs.</t>
        </is>
      </c>
    </row>
    <row r="186">
      <c r="A186" t="n">
        <v>237</v>
      </c>
      <c r="B186" t="inlineStr">
        <is>
          <t>As a parent I want wireless access to emergency services so that I can still call for help if my phone lines are cut..</t>
        </is>
      </c>
    </row>
    <row r="187">
      <c r="A187" t="n">
        <v>238</v>
      </c>
      <c r="B187" t="inlineStr">
        <is>
          <t>As a home owner I want remote wireless access to surveillance cameras so that I can keep an eye on my home in real time even when I am away..</t>
        </is>
      </c>
    </row>
    <row r="188">
      <c r="A188" t="n">
        <v>239</v>
      </c>
      <c r="B188" t="inlineStr">
        <is>
          <t>As a parent I want to set an alarm on all the water pipes  so that it automatically alerts when there is a water wastage.</t>
        </is>
      </c>
    </row>
    <row r="189">
      <c r="A189" t="n">
        <v>240</v>
      </c>
      <c r="B189" t="inlineStr">
        <is>
          <t>As a parent I want to get an alert when there is water spilled over the floor so that home occupant is alerted and don't fall off.</t>
        </is>
      </c>
    </row>
    <row r="190">
      <c r="A190" t="n">
        <v>242</v>
      </c>
      <c r="B190" t="inlineStr">
        <is>
          <t>As a home occupant I want my A/C to automatically on if the temperature fall down a mentioned room temperature so that the temperature is well maintained all the time.</t>
        </is>
      </c>
    </row>
    <row r="191">
      <c r="A191" t="n">
        <v>243</v>
      </c>
      <c r="B191" t="inlineStr">
        <is>
          <t>As a occupant I want Auto sensing music system so that It can sense automatically my mood and play the song as per my mood.</t>
        </is>
      </c>
    </row>
    <row r="192">
      <c r="A192" t="n">
        <v>244</v>
      </c>
      <c r="B192" t="inlineStr">
        <is>
          <t>As a home occupant I want my smart home to notify me via text message when my internet service bandwidth declines below a pre-specified speed, and also keeps track of bandwidth outages and speed reductions so that I may be notified of internet service provider outages and bandwidth reductions which will affect the use of my smart home technologies.</t>
        </is>
      </c>
    </row>
    <row r="193">
      <c r="A193" t="n">
        <v>245</v>
      </c>
      <c r="B193" t="inlineStr">
        <is>
          <t>As a home occupant I want Thermostat show temperature from across the room and give recommend to heat or cool the room.  so that can be save on energy costs.</t>
        </is>
      </c>
    </row>
    <row r="194">
      <c r="A194" t="n">
        <v>246</v>
      </c>
      <c r="B194" t="inlineStr">
        <is>
          <t>As a home occupant I want my doors to lock up automatically after a mentioned time so that we can prevent theft and other burglary .</t>
        </is>
      </c>
    </row>
    <row r="195">
      <c r="A195" t="n">
        <v>247</v>
      </c>
      <c r="B195" t="inlineStr">
        <is>
          <t>As a home occupant I want my smart home to notify me via text message when regular tests of my various installed smart home technologies indicate a specific technology malfunction or failure so that may know without manual testing that my various installed smart home technologies are completely functional and operative.</t>
        </is>
      </c>
    </row>
    <row r="196">
      <c r="A196" t="n">
        <v>248</v>
      </c>
      <c r="B196" t="inlineStr">
        <is>
          <t>As a home occupant I want open door using my smart phones so that can increase my home safety.</t>
        </is>
      </c>
    </row>
    <row r="197">
      <c r="A197" t="n">
        <v>249</v>
      </c>
      <c r="B197" t="inlineStr">
        <is>
          <t>As a home occupant I want a doorbell camera let me to see and talk to the visors at front door.  so that can save time.</t>
        </is>
      </c>
    </row>
    <row r="198">
      <c r="A198" t="n">
        <v>250</v>
      </c>
      <c r="B198" t="inlineStr">
        <is>
          <t>As a home occupant I want my smart home to automatically water my front and rear lawn areas at pre-specified times each day so that I do not have to manually water my lawn.</t>
        </is>
      </c>
    </row>
    <row r="199">
      <c r="A199" t="n">
        <v>251</v>
      </c>
      <c r="B199" t="inlineStr">
        <is>
          <t>As a home occupant I want to open front gate of my home automatically when my vehicle approach to gate and close after vehicle pass the gate so that can be save time.</t>
        </is>
      </c>
    </row>
    <row r="200">
      <c r="A200" t="n">
        <v>253</v>
      </c>
      <c r="B200" t="inlineStr">
        <is>
          <t>As a home occupant I want coffee machine is controllable from mobile and tablet. so that can be save time.</t>
        </is>
      </c>
    </row>
    <row r="201">
      <c r="A201" t="n">
        <v>254</v>
      </c>
      <c r="B201" t="inlineStr">
        <is>
          <t>As a home occupant I want smart device to clean your windows automatically so that can be save time.</t>
        </is>
      </c>
    </row>
    <row r="202">
      <c r="A202" t="n">
        <v>255</v>
      </c>
      <c r="B202" t="inlineStr">
        <is>
          <t>As a home occupant I want my smart home to automatically close and open pre-specified window shades, and to turn on-off specific lights in and around my home automatically each night and each day so that I do not have to manually adjust these items each evening.</t>
        </is>
      </c>
    </row>
    <row r="203">
      <c r="A203" t="n">
        <v>256</v>
      </c>
      <c r="B203" t="inlineStr">
        <is>
          <t>As a home occupant I want my smart home to manage electicity of home. when some activity or movement is going on the lights get auto on for some specific time but if there is no activity going on like room is vacant or people are sleeping then it can auto sensor and switch off the lights and also maintain the brightness of lights. so that energy can be saved in less effort.</t>
        </is>
      </c>
    </row>
    <row r="204">
      <c r="A204" t="n">
        <v>257</v>
      </c>
      <c r="B204" t="inlineStr">
        <is>
          <t>As a home occupant I want smart snowlance to clean snow on my home roof automatically so that can be save time.</t>
        </is>
      </c>
    </row>
    <row r="205">
      <c r="A205" t="n">
        <v>258</v>
      </c>
      <c r="B205" t="inlineStr">
        <is>
          <t>As a temperature controller home occupant I want my smart home to monitor my body temprature and manage the home temprature according to that. so that people living in home stay fit and healthy.</t>
        </is>
      </c>
    </row>
    <row r="206">
      <c r="A206" t="n">
        <v>259</v>
      </c>
      <c r="B206" t="inlineStr">
        <is>
          <t>As a home guard I want my home to blink a red bulb whenever someone is starring for more then one minute to the home so that i can closely monitor who is keeping eye on me or my home.</t>
        </is>
      </c>
    </row>
    <row r="207">
      <c r="A207" t="n">
        <v>260</v>
      </c>
      <c r="B207" t="inlineStr">
        <is>
          <t>As a entertainer I want my home to play soothing music while evening time so that i can relax.</t>
        </is>
      </c>
    </row>
    <row r="208">
      <c r="A208" t="n">
        <v>261</v>
      </c>
      <c r="B208" t="inlineStr">
        <is>
          <t>As a time manager I want my smart home to ring bell in all over the home  so that so that all member can wake at time..</t>
        </is>
      </c>
    </row>
    <row r="209">
      <c r="A209" t="n">
        <v>262</v>
      </c>
      <c r="B209" t="inlineStr">
        <is>
          <t>As a home occupant I want my smart home to make sound the alarm in the moments before a big tremor strikes so that can be save life.</t>
        </is>
      </c>
    </row>
    <row r="210">
      <c r="A210" t="n">
        <v>263</v>
      </c>
      <c r="B210" t="inlineStr">
        <is>
          <t>As a assistant I want my smart home to have voice command feature to operate activities from bathrooms  so that even if i am alone in home and in bathroom i can manage the activities.</t>
        </is>
      </c>
    </row>
    <row r="211">
      <c r="A211" t="n">
        <v>264</v>
      </c>
      <c r="B211" t="inlineStr">
        <is>
          <t>As a cleaner I want my home floors to be auto cleaner when anything spills. so that i can manage cleanniness and good health.</t>
        </is>
      </c>
    </row>
    <row r="212">
      <c r="A212" t="n">
        <v>265</v>
      </c>
      <c r="B212" t="inlineStr">
        <is>
          <t>As a entertainer I want my smart home to be full of sunlight and moonlight by transparent walls whenever i need it i can manage the opesity so that i can enjoy the nature.</t>
        </is>
      </c>
    </row>
    <row r="213">
      <c r="A213" t="n">
        <v>266</v>
      </c>
      <c r="B213" t="inlineStr">
        <is>
          <t>As a home occupant I want my smart home to collect and manage the various power requirements of my smart appliances, heating and cooling technologies, and my security and access systems, and I wish to be alerted via text message via mobile phone when power-related problems, spikes or failures occur so that I may have alternate back-up power sources automatically activated, or manually activate them myself.</t>
        </is>
      </c>
    </row>
    <row r="214">
      <c r="A214" t="n">
        <v>267</v>
      </c>
      <c r="B214" t="inlineStr">
        <is>
          <t>As a assistant I want my smart home to give alert if anything is on the floor apart from usual things like if my key is lost somewhere my smart house should give me an alert of direction where i should search it. so that it can save my time to search things.</t>
        </is>
      </c>
    </row>
    <row r="215">
      <c r="A215" t="n">
        <v>268</v>
      </c>
      <c r="B215" t="inlineStr">
        <is>
          <t>As a entertainer I want my smart home to change the fragrence of home in every few hours so that i can enjoy the fregrances.</t>
        </is>
      </c>
    </row>
    <row r="216">
      <c r="A216" t="n">
        <v>269</v>
      </c>
      <c r="B216" t="inlineStr">
        <is>
          <t>As a temperature control I want it to maintain the temperature and ask person at home or other place if the temperature should be higher or lower. so that A person can be comfortable and not too cold or too hot..</t>
        </is>
      </c>
    </row>
    <row r="217">
      <c r="A217" t="n">
        <v>270</v>
      </c>
      <c r="B217" t="inlineStr">
        <is>
          <t>As a gardner I want it to run a lawn mower if the grass is getting too high and out of control. so that the grass is maintained and looking nice..</t>
        </is>
      </c>
    </row>
    <row r="218">
      <c r="A218" t="n">
        <v>271</v>
      </c>
      <c r="B218" t="inlineStr">
        <is>
          <t>As a protector I want it to watch people who get close to the house and alert the homeowner if they are suspicious. so that the homeowner knows if someone might break in or might steal something outside like mail..</t>
        </is>
      </c>
    </row>
    <row r="219">
      <c r="A219" t="n">
        <v>272</v>
      </c>
      <c r="B219" t="inlineStr">
        <is>
          <t>As a energy saver I want it to check each room and turn off lights if a person is not in the room so that the electricty isn't being used when it is not needed..</t>
        </is>
      </c>
    </row>
    <row r="220">
      <c r="A220" t="n">
        <v>273</v>
      </c>
      <c r="B220" t="inlineStr">
        <is>
          <t>As a grocery organizer I want it to check the contents of the refirgerator and inform user if the milk is too old or when to get new food. so that food can be thrown out when old or food can be bought when running out..</t>
        </is>
      </c>
    </row>
    <row r="221">
      <c r="A221" t="n">
        <v>274</v>
      </c>
      <c r="B221" t="inlineStr">
        <is>
          <t>As a home occupant I want my smarthome to beep when there is a rodent inside my home so that there won't be any damage to my household things.</t>
        </is>
      </c>
    </row>
    <row r="222">
      <c r="A222" t="n">
        <v>275</v>
      </c>
      <c r="B222" t="inlineStr">
        <is>
          <t>As a housewife I want my smarthome to automatically turn on the television whenever my favorite show is telecast.  so that I don't miss my favorite shows.</t>
        </is>
      </c>
    </row>
    <row r="223">
      <c r="A223" t="n">
        <v>276</v>
      </c>
      <c r="B223" t="inlineStr">
        <is>
          <t>As a news informer I want it to turn on the TV to the news channel of the user's choice when important news is happening so that the user can be aware when major news is happening which the user would want to hear about right away..</t>
        </is>
      </c>
    </row>
    <row r="224">
      <c r="A224" t="n">
        <v>277</v>
      </c>
      <c r="B224" t="inlineStr">
        <is>
          <t>As a home occupant I want my smarthome to alert me when there is water flooding in my home during the rainy season so that I can save my belongings.</t>
        </is>
      </c>
    </row>
    <row r="225">
      <c r="A225" t="n">
        <v>278</v>
      </c>
      <c r="B225" t="inlineStr">
        <is>
          <t>As a maid I want it to prepare the bath when a user wants it at a perfect temperature and with bubbles if needed. so that the user doesn't have to wait for a bath to have it at a perfect temperature..</t>
        </is>
      </c>
    </row>
    <row r="226">
      <c r="A226" t="n">
        <v>279</v>
      </c>
      <c r="B226" t="inlineStr">
        <is>
          <t>As a dog owner I want my smarthome to buzz me whenever my dog poops inside my home so that I can clean the faeces quickly and keep my home clean.</t>
        </is>
      </c>
    </row>
    <row r="227">
      <c r="A227" t="n">
        <v>280</v>
      </c>
      <c r="B227" t="inlineStr">
        <is>
          <t>As a cook I want it to prepeare the coffee in the morning before user wakes up so that the user can have a fresh hot coffee when they get up..</t>
        </is>
      </c>
    </row>
    <row r="228">
      <c r="A228" t="n">
        <v>281</v>
      </c>
      <c r="B228" t="inlineStr">
        <is>
          <t>As a housewife I want my smarthome to alert me whenever someone sets up a spycam inside my home.  so that I won't be monitored.</t>
        </is>
      </c>
    </row>
    <row r="229">
      <c r="A229" t="n">
        <v>282</v>
      </c>
      <c r="B229" t="inlineStr">
        <is>
          <t>As a parent I want it to remind the person to go to bed at a specific time for school,work or special occasion so that the user will get enough sleep and not forget about when they have to go to sleep..</t>
        </is>
      </c>
    </row>
    <row r="230">
      <c r="A230" t="n">
        <v>283</v>
      </c>
      <c r="B230" t="inlineStr">
        <is>
          <t>As a home occupant I want my smarthome to automatically turn off the lights whenever I leave my home so that I can save money on energy bills.</t>
        </is>
      </c>
    </row>
    <row r="231">
      <c r="A231" t="n">
        <v>284</v>
      </c>
      <c r="B231" t="inlineStr">
        <is>
          <t>As a home occupant I want my smarthome to alert me whenever there is a gas leak inside my home so that I can save myself.</t>
        </is>
      </c>
    </row>
    <row r="232">
      <c r="A232" t="n">
        <v>285</v>
      </c>
      <c r="B232" t="inlineStr">
        <is>
          <t>As a maid I want it to wash the dishes at the best time available so that the dishes will get washed at a time when appliances are not used often in the neighborhood..</t>
        </is>
      </c>
    </row>
    <row r="233">
      <c r="A233" t="n">
        <v>286</v>
      </c>
      <c r="B233" t="inlineStr">
        <is>
          <t>As a housewife I want my smarthome to alert me whenever the amount of milk in my fridge is too low so that I can get them from the supermarket and enjoy a wholesome breakfast.</t>
        </is>
      </c>
    </row>
    <row r="234">
      <c r="A234" t="n">
        <v>287</v>
      </c>
      <c r="B234" t="inlineStr">
        <is>
          <t>As a energy monitor I want it to turn on the outside lights at night and turn them off in the morning also dim lights when light isn't needed so bright so that energy is saved and safety at night is observed with light to deter burglary.</t>
        </is>
      </c>
    </row>
    <row r="235">
      <c r="A235" t="n">
        <v>288</v>
      </c>
      <c r="B235" t="inlineStr">
        <is>
          <t>As a professional I want my smarthome to play some music after I come back from work so that I can relax and relieve my stress.</t>
        </is>
      </c>
    </row>
    <row r="236">
      <c r="A236" t="n">
        <v>289</v>
      </c>
      <c r="B236" t="inlineStr">
        <is>
          <t>As a home occupant I want my smarthome to give an update on the weather when I am about to leave my home so that I can carry an umbrella and avoid the rains.</t>
        </is>
      </c>
    </row>
    <row r="237">
      <c r="A237" t="n">
        <v>290</v>
      </c>
      <c r="B237" t="inlineStr">
        <is>
          <t>As a health monitor I want it to monitor people with health problems so if something is wrong the medical emergency agents gets called so that people who might fall and can't get help will be able to get help or someone who passes out because a disease can get help fast..</t>
        </is>
      </c>
    </row>
    <row r="238">
      <c r="A238" t="n">
        <v>291</v>
      </c>
      <c r="B238" t="inlineStr">
        <is>
          <t>As a cooker I want it to turn on the oven at a specific time agreed upon by a person so that dinner can be ready at a specific time before the home owner gets home or they forget..</t>
        </is>
      </c>
    </row>
    <row r="239">
      <c r="A239" t="n">
        <v>292</v>
      </c>
      <c r="B239" t="inlineStr">
        <is>
          <t>As a parent I want dangerous doors to stay locked so that my child will be safe..</t>
        </is>
      </c>
    </row>
    <row r="240">
      <c r="A240" t="n">
        <v>293</v>
      </c>
      <c r="B240" t="inlineStr">
        <is>
          <t>As a parent I want channels to be safe so that my child wont watch bad stuff.</t>
        </is>
      </c>
    </row>
    <row r="241">
      <c r="A241" t="n">
        <v>294</v>
      </c>
      <c r="B241" t="inlineStr">
        <is>
          <t>As a home owner I want doors to stay locked so that thiefs don't enter.</t>
        </is>
      </c>
    </row>
    <row r="242">
      <c r="A242" t="n">
        <v>295</v>
      </c>
      <c r="B242" t="inlineStr">
        <is>
          <t>As a home owner I want cameras to record so that i can see what happens.</t>
        </is>
      </c>
    </row>
    <row r="243">
      <c r="A243" t="n">
        <v>296</v>
      </c>
      <c r="B243" t="inlineStr">
        <is>
          <t>As a home owner I want items to save energy so that my bills arent high.</t>
        </is>
      </c>
    </row>
    <row r="244">
      <c r="A244" t="n">
        <v>297</v>
      </c>
      <c r="B244" t="inlineStr">
        <is>
          <t>As a home owner I want lights to dim when i'm gone so that i save energy.</t>
        </is>
      </c>
    </row>
    <row r="245">
      <c r="A245" t="n">
        <v>298</v>
      </c>
      <c r="B245" t="inlineStr">
        <is>
          <t>As a home owner I want alarms to be in place so that i know whats going on.</t>
        </is>
      </c>
    </row>
    <row r="246">
      <c r="A246" t="n">
        <v>299</v>
      </c>
      <c r="B246" t="inlineStr">
        <is>
          <t>As a home owner I want detectors installed so that i know when a fire happens.</t>
        </is>
      </c>
    </row>
    <row r="247">
      <c r="A247" t="n">
        <v>300</v>
      </c>
      <c r="B247" t="inlineStr">
        <is>
          <t>As a mother I want health scales installed so that i can stay healthy.</t>
        </is>
      </c>
    </row>
    <row r="248">
      <c r="A248" t="n">
        <v>301</v>
      </c>
      <c r="B248" t="inlineStr">
        <is>
          <t>As a mother I want high tech learning so that my child can learn.</t>
        </is>
      </c>
    </row>
    <row r="249">
      <c r="A249" t="n">
        <v>302</v>
      </c>
      <c r="B249" t="inlineStr">
        <is>
          <t>As a parent I want to know when someone is trying to break into my home. so that I can protect my family on the inside..</t>
        </is>
      </c>
    </row>
    <row r="250">
      <c r="A250" t="n">
        <v>303</v>
      </c>
      <c r="B250" t="inlineStr">
        <is>
          <t>As a parent I want something to warn me if there is an electrical problem in the wall so that I can get it fixed before my house burns down..</t>
        </is>
      </c>
    </row>
    <row r="251">
      <c r="A251" t="n">
        <v>304</v>
      </c>
      <c r="B251" t="inlineStr">
        <is>
          <t>As a pet owner I want something that alerts me when my dog gets too close to dangerous foods or things so that I can get the dog away from whatever is there..</t>
        </is>
      </c>
    </row>
    <row r="252">
      <c r="A252" t="n">
        <v>305</v>
      </c>
      <c r="B252" t="inlineStr">
        <is>
          <t>As a home occupant I want radiator thermostats so that I can control the temperature of the house easily even when I am away from home..</t>
        </is>
      </c>
    </row>
    <row r="253">
      <c r="A253" t="n">
        <v>306</v>
      </c>
      <c r="B253" t="inlineStr">
        <is>
          <t>As a home occupant I want my smart home to alert authorities when it detects the presence of carbon monoxide or fire. so that they can respond quickly and prevent loss of life or damage to the home..</t>
        </is>
      </c>
    </row>
    <row r="254">
      <c r="A254" t="n">
        <v>307</v>
      </c>
      <c r="B254" t="inlineStr">
        <is>
          <t>As a energy saving person I want an alert my refrigerator is acting funny so that so I can have it serviced so I can save money..</t>
        </is>
      </c>
    </row>
    <row r="255">
      <c r="A255" t="n">
        <v>308</v>
      </c>
      <c r="B255" t="inlineStr">
        <is>
          <t>As a home occupant I want smart lights that change throughout the time of day so that lights will automatically come on when needed when I come home..</t>
        </is>
      </c>
    </row>
    <row r="256">
      <c r="A256" t="n">
        <v>310</v>
      </c>
      <c r="B256" t="inlineStr">
        <is>
          <t>As a parent I want my refrigerator to let me know when food is bad so that I can toss it to keep my family from becoming ill..</t>
        </is>
      </c>
    </row>
    <row r="257">
      <c r="A257" t="n">
        <v>311</v>
      </c>
      <c r="B257" t="inlineStr">
        <is>
          <t>As a home occupant I want My smart house to turn the lights off after there is no movment in a room for 20 min so that I can save money on light bulbs and electricity..</t>
        </is>
      </c>
    </row>
    <row r="258">
      <c r="A258" t="n">
        <v>313</v>
      </c>
      <c r="B258" t="inlineStr">
        <is>
          <t>As a mother I want my television to warn me when a rated R movie is coming on so that I can stop it before my children see it.</t>
        </is>
      </c>
    </row>
    <row r="259">
      <c r="A259" t="n">
        <v>315</v>
      </c>
      <c r="B259" t="inlineStr">
        <is>
          <t>As a housewife I want my fridge to be programmable so that I can insert a list of items I want to keep on hand and when the item gets low, i can push a button to have it added to a shopping list that interacts with my laptop (like via an application) and generates a list fo rme so that I can just print out the list (or even better have it on my phone) and take it to the store with me and not forget to pick up things (like milk).</t>
        </is>
      </c>
    </row>
    <row r="260">
      <c r="A260" t="n">
        <v>316</v>
      </c>
      <c r="B260" t="inlineStr">
        <is>
          <t>As a home occupant I want a central control unit so that I can easily change settings of smart home features in my house. .</t>
        </is>
      </c>
    </row>
    <row r="261">
      <c r="A261" t="n">
        <v>317</v>
      </c>
      <c r="B261" t="inlineStr">
        <is>
          <t>As a wife I want have the lights dim for a romantic evening with my husband so that I do not have to move and spoil the moment..</t>
        </is>
      </c>
    </row>
    <row r="262">
      <c r="A262" t="n">
        <v>318</v>
      </c>
      <c r="B262" t="inlineStr">
        <is>
          <t>As a parent I want something to warn me when the stove isn't working right so that I can cook the food properly to keep my family from being ill..</t>
        </is>
      </c>
    </row>
    <row r="263">
      <c r="A263" t="n">
        <v>319</v>
      </c>
      <c r="B263" t="inlineStr">
        <is>
          <t>As a home occupant I want security footage of visits by humans only so that I can save time when reviewing the footage.</t>
        </is>
      </c>
    </row>
    <row r="264">
      <c r="A264" t="n">
        <v>320</v>
      </c>
      <c r="B264" t="inlineStr">
        <is>
          <t>As a home occupant I want my smart home to recognize a durress phrase, so that when I say it, the police will automatically alerted to the presence of an emergency/intruder etc. and respond. (kinda like a silent alarm in the bank0.</t>
        </is>
      </c>
    </row>
    <row r="265">
      <c r="A265" t="n">
        <v>321</v>
      </c>
      <c r="B265" t="inlineStr">
        <is>
          <t>As a home occupant I want to be able to lock my house through an app so that if I forget to lock any doors, I can do so from home. .</t>
        </is>
      </c>
    </row>
    <row r="266">
      <c r="A266" t="n">
        <v>323</v>
      </c>
      <c r="B266" t="inlineStr">
        <is>
          <t>As a parent I want a light to kick on when someone approaches my door so that I can make sure whether to answer the door or not..</t>
        </is>
      </c>
    </row>
    <row r="267">
      <c r="A267" t="n">
        <v>324</v>
      </c>
      <c r="B267" t="inlineStr">
        <is>
          <t>As a mother I want motion sensors in my home so that I can tell when something is moving about if it is suppose to be there..</t>
        </is>
      </c>
    </row>
    <row r="268">
      <c r="A268" t="n">
        <v>325</v>
      </c>
      <c r="B268" t="inlineStr">
        <is>
          <t>As a mother I want my smart home to restrict tv channels when my child turns on the tv (perhaps via a profile menu or something) so that my child can only access child appropriate channels..</t>
        </is>
      </c>
    </row>
    <row r="269">
      <c r="A269" t="n">
        <v>326</v>
      </c>
      <c r="B269" t="inlineStr">
        <is>
          <t>As a bill payer I want measurements of what each appliance draws in voltage so that I can conserve energy.</t>
        </is>
      </c>
    </row>
    <row r="270">
      <c r="A270" t="n">
        <v>327</v>
      </c>
      <c r="B270" t="inlineStr">
        <is>
          <t>As a home occupant I want smoke detectors that will alert me if I am away from home so that I can know if a fire happens right away..</t>
        </is>
      </c>
    </row>
    <row r="271">
      <c r="A271" t="n">
        <v>328</v>
      </c>
      <c r="B271" t="inlineStr">
        <is>
          <t>As a pet owner I want something that alerts me when my dog is in the trash so that stop her from grabbing something she should't..</t>
        </is>
      </c>
    </row>
    <row r="272">
      <c r="A272" t="n">
        <v>329</v>
      </c>
      <c r="B272" t="inlineStr">
        <is>
          <t>As a home occupant I want the house to automatically determine the right temperature to set the thermostat so that I will save on my home heating bills.</t>
        </is>
      </c>
    </row>
    <row r="273">
      <c r="A273" t="n">
        <v>330</v>
      </c>
      <c r="B273" t="inlineStr">
        <is>
          <t>As a mother I want my smart home to turn off internet access for my child's playstation or computer when a certain time period (to be specified by adult) has been reached so that they will not spend the whole day playing on the internet/video games..</t>
        </is>
      </c>
    </row>
    <row r="274">
      <c r="A274" t="n">
        <v>331</v>
      </c>
      <c r="B274" t="inlineStr">
        <is>
          <t>As a occupant I want My house to automatically lock all windows and doors once I close the front door and step on the front steps outsidde so that My home will be secure from burgulars.</t>
        </is>
      </c>
    </row>
    <row r="275">
      <c r="A275" t="n">
        <v>332</v>
      </c>
      <c r="B275" t="inlineStr">
        <is>
          <t>As a home occupant I want the house to automatically shut off lights in rooms without occupants so that I will save on electricity bills.</t>
        </is>
      </c>
    </row>
    <row r="276">
      <c r="A276" t="n">
        <v>333</v>
      </c>
      <c r="B276" t="inlineStr">
        <is>
          <t>As a home occupant I want a floor heating controller so that I can have comfortable floors during winter time..</t>
        </is>
      </c>
    </row>
    <row r="277">
      <c r="A277" t="n">
        <v>334</v>
      </c>
      <c r="B277" t="inlineStr">
        <is>
          <t>As a bill payer I want lights to turn off if no one has entered a room during a given period so that I can save electricity.</t>
        </is>
      </c>
    </row>
    <row r="278">
      <c r="A278" t="n">
        <v>335</v>
      </c>
      <c r="B278" t="inlineStr">
        <is>
          <t>As a home occupant I want my porch lights to be programmable to come on when it gets dark so that I can see when I get home..</t>
        </is>
      </c>
    </row>
    <row r="279">
      <c r="A279" t="n">
        <v>336</v>
      </c>
      <c r="B279" t="inlineStr">
        <is>
          <t>As a environment conscious consumer I want my smart home to turn off lights in rooms when no motion is detected after 15 minutes so that I can save on energy costs and lower energy usage.</t>
        </is>
      </c>
    </row>
    <row r="280">
      <c r="A280" t="n">
        <v>337</v>
      </c>
      <c r="B280" t="inlineStr">
        <is>
          <t>As a home occupant I want my smart home to have programmable lights so that so that when i'm away they will turn on at specific times to discourage theft..</t>
        </is>
      </c>
    </row>
    <row r="281">
      <c r="A281" t="n">
        <v>338</v>
      </c>
      <c r="B281" t="inlineStr">
        <is>
          <t>As a cook I want a smoke alarm that I can easily temporarily disable for an hour so that it doesn't go off when I'm cooking something smoky.</t>
        </is>
      </c>
    </row>
    <row r="282">
      <c r="A282" t="n">
        <v>339</v>
      </c>
      <c r="B282" t="inlineStr">
        <is>
          <t>As a spouse I want a voice activated recipe search program in my kitchen so that I can easily find recipes for something I want to cook and it could list off ingredients for me while I am searching for them..</t>
        </is>
      </c>
    </row>
    <row r="283">
      <c r="A283" t="n">
        <v>340</v>
      </c>
      <c r="B283" t="inlineStr">
        <is>
          <t>As a home occupant I want my smart home to allow me to track my fitness goals (like weight, exercise calories, food consumed) through an easy app (like while preparing a recipe I may be able to just push the "i've eaten this button" on the interface) so that I am encouraged to be more active and eat better..</t>
        </is>
      </c>
    </row>
    <row r="284">
      <c r="A284" t="n">
        <v>341</v>
      </c>
      <c r="B284" t="inlineStr">
        <is>
          <t>As a bather I want a standard setting (like a car radio button) for a temperature I like the water so that I don't experience water that's too hot or too cold each time.</t>
        </is>
      </c>
    </row>
    <row r="285">
      <c r="A285" t="n">
        <v>342</v>
      </c>
      <c r="B285" t="inlineStr">
        <is>
          <t>As a home occupant I want the window blinds to automatically open and close depending on the time of day so that I can maintain my privacy and save on electricity.</t>
        </is>
      </c>
    </row>
    <row r="286">
      <c r="A286" t="n">
        <v>343</v>
      </c>
      <c r="B286" t="inlineStr">
        <is>
          <t>As a home owner I want my smart home to manage temperature settings when people are home and away so that we don't unnecessarily use energy when no one is around..</t>
        </is>
      </c>
    </row>
    <row r="287">
      <c r="A287" t="n">
        <v>344</v>
      </c>
      <c r="B287" t="inlineStr">
        <is>
          <t>As a parent I want an alarm to go off whenever someone who is under a certain height goes in the kitchen so that my child wont be able to get into dangerous things in the kitchen. Such as; getting burned on the stove or getting into dangerous chemicals..</t>
        </is>
      </c>
    </row>
    <row r="288">
      <c r="A288" t="n">
        <v>345</v>
      </c>
      <c r="B288" t="inlineStr">
        <is>
          <t>As a home occupant I want door and window sensors so that I can tell if anyone suspicious has been around my house and can avoid robbery..</t>
        </is>
      </c>
    </row>
    <row r="289">
      <c r="A289" t="n">
        <v>346</v>
      </c>
      <c r="B289" t="inlineStr">
        <is>
          <t>As a home occupant I want video cameras to start recording anytime someone comes in range of the main door so that I will know whether or not I should open the door to visitors.</t>
        </is>
      </c>
    </row>
    <row r="290">
      <c r="A290" t="n">
        <v>347</v>
      </c>
      <c r="B290" t="inlineStr">
        <is>
          <t>As a pet owner I want my smart home to alert me when my cat enters or leaves the house so that I have a better idea where the pet is (and don't spend hours searchign inside, when the cat is actually outside).</t>
        </is>
      </c>
    </row>
    <row r="291">
      <c r="A291" t="n">
        <v>348</v>
      </c>
      <c r="B291" t="inlineStr">
        <is>
          <t>As a sleepy person I want lights and my stereo hooked to my alarm clock so that I am forced to wake up.</t>
        </is>
      </c>
    </row>
    <row r="292">
      <c r="A292" t="n">
        <v>349</v>
      </c>
      <c r="B292" t="inlineStr">
        <is>
          <t>As a future parent I want a room monitor so that if I have a child, I can tell if anything is wrong with the baby at night..</t>
        </is>
      </c>
    </row>
    <row r="293">
      <c r="A293" t="n">
        <v>350</v>
      </c>
      <c r="B293" t="inlineStr">
        <is>
          <t>As a home occupant I want my music and videos to sync across devices all over the house so that I will not have to manually transfer my entertainment between devices.</t>
        </is>
      </c>
    </row>
    <row r="294">
      <c r="A294" t="n">
        <v>351</v>
      </c>
      <c r="B294" t="inlineStr">
        <is>
          <t>As a home owner I want my doors to lock automaticaly so that I never have to worry about them being locked..</t>
        </is>
      </c>
    </row>
    <row r="295">
      <c r="A295" t="n">
        <v>352</v>
      </c>
      <c r="B295" t="inlineStr">
        <is>
          <t>As a home occupant I want my smart phone to have programmable thermostats/electricity settings that automatically engage when I'm away, or the weather changes according to specified paramters so that i can save money on my bills.</t>
        </is>
      </c>
    </row>
    <row r="296">
      <c r="A296" t="n">
        <v>353</v>
      </c>
      <c r="B296" t="inlineStr">
        <is>
          <t>As a home occupant I want curtains that can close automatically with a clap so that I don't have to pull a string.</t>
        </is>
      </c>
    </row>
    <row r="297">
      <c r="A297" t="n">
        <v>354</v>
      </c>
      <c r="B297" t="inlineStr">
        <is>
          <t>As a home owner I want Sensors that can notify my smartphone if there are movments in the house so that I know if someone breaks in..</t>
        </is>
      </c>
    </row>
    <row r="298">
      <c r="A298" t="n">
        <v>355</v>
      </c>
      <c r="B298" t="inlineStr">
        <is>
          <t>As a home occupant I want automatic shades/blinds that adjust throughout the day so that it can maximise brightness in the room during the day without me having to..</t>
        </is>
      </c>
    </row>
    <row r="299">
      <c r="A299" t="n">
        <v>356</v>
      </c>
      <c r="B299" t="inlineStr">
        <is>
          <t>As a adult I want Smoke detectors that can notify my phone so that I know if there is anything wrong in the house.</t>
        </is>
      </c>
    </row>
    <row r="300">
      <c r="A300" t="n">
        <v>357</v>
      </c>
      <c r="B300" t="inlineStr">
        <is>
          <t>As a home occupant I want a subtle reminder should I leave a door unlocked or open so that I'm protected from intruders.</t>
        </is>
      </c>
    </row>
    <row r="301">
      <c r="A301" t="n">
        <v>358</v>
      </c>
      <c r="B301" t="inlineStr">
        <is>
          <t>As a pet owner I want my home to notify me when I need to take the dog out for walks so that I do not neglect my pet and it can take care of its business outside the home.</t>
        </is>
      </c>
    </row>
    <row r="302">
      <c r="A302" t="n">
        <v>359</v>
      </c>
      <c r="B302" t="inlineStr">
        <is>
          <t>As a home owner I want lights that turn on and off automatically so that Ligts are never left on wasting electricty.</t>
        </is>
      </c>
    </row>
    <row r="303">
      <c r="A303" t="n">
        <v>360</v>
      </c>
      <c r="B303" t="inlineStr">
        <is>
          <t>As a home occupant I want my smart home to be able to place phone calls from voice command / or text messages (like, activate computer with voice command: call x, and then have the call take place "mid air" so to speak) so that i can conveniently place orders, talk to customer service ,or get in touch with people .</t>
        </is>
      </c>
    </row>
    <row r="304">
      <c r="A304" t="n">
        <v>361</v>
      </c>
      <c r="B304" t="inlineStr">
        <is>
          <t>As a home owner I want my smart home to turn on lights in the living room, foyer, and front porch when someone approaches the door so that it seems as if someone is home, even if that isn't the case..</t>
        </is>
      </c>
    </row>
    <row r="305">
      <c r="A305" t="n">
        <v>362</v>
      </c>
      <c r="B305" t="inlineStr">
        <is>
          <t>As a curious person I want a search engine voice activated with a display on a wall so that i can quick search something in a conversation.</t>
        </is>
      </c>
    </row>
    <row r="306">
      <c r="A306" t="n">
        <v>363</v>
      </c>
      <c r="B306" t="inlineStr">
        <is>
          <t>As a parent I want my home to automatically wake up children at a predetermined time for school so that I do not have to wake my children up myself and they are not late for school.</t>
        </is>
      </c>
    </row>
    <row r="307">
      <c r="A307" t="n">
        <v>364</v>
      </c>
      <c r="B307" t="inlineStr">
        <is>
          <t>As a pet owner I want a doggy door that slides open automatically to a sensor on a dog's collar so that strange animals don't come in the doggy door.</t>
        </is>
      </c>
    </row>
    <row r="308">
      <c r="A308" t="n">
        <v>365</v>
      </c>
      <c r="B308" t="inlineStr">
        <is>
          <t>As a home owner I want lights that in front rooms turn on automatically so that potential robbers are deterred thinking someone is home..</t>
        </is>
      </c>
    </row>
    <row r="309">
      <c r="A309" t="n">
        <v>366</v>
      </c>
      <c r="B309" t="inlineStr">
        <is>
          <t>As a homeowner and worker I want my smart home to have coffee working each week day at 6:45 am so that I don't have to start it before I take my shower in the morning..</t>
        </is>
      </c>
    </row>
    <row r="310">
      <c r="A310" t="n">
        <v>367</v>
      </c>
      <c r="B310" t="inlineStr">
        <is>
          <t>As a home occupant I want sprinklers to automatically activate and water the lawn at the appropriate times so that I can maintain a healthy looking garden.</t>
        </is>
      </c>
    </row>
    <row r="311">
      <c r="A311" t="n">
        <v>368</v>
      </c>
      <c r="B311" t="inlineStr">
        <is>
          <t>As a parent I want i want my smart home to put heat or air conditioning on depending on the temperature in the room so that I can always be comfortable.</t>
        </is>
      </c>
    </row>
    <row r="312">
      <c r="A312" t="n">
        <v>369</v>
      </c>
      <c r="B312" t="inlineStr">
        <is>
          <t>As a home owner I want a thermostat that takes the outdoor temperature and forecasts into account so that I have reduced running time on the HVAC system..</t>
        </is>
      </c>
    </row>
    <row r="313">
      <c r="A313" t="n">
        <v>370</v>
      </c>
      <c r="B313" t="inlineStr">
        <is>
          <t>As a home occupant I want my smart home to regulate temperature loss  or brigthness through windows (like a photo cell that darkens the window when the sun shines right on it) so that so that it doesn't heat up during the bright part of the day, or at night they untint so you can still see out the windows, but in general control light and energy expense..</t>
        </is>
      </c>
    </row>
    <row r="314">
      <c r="A314" t="n">
        <v>371</v>
      </c>
      <c r="B314" t="inlineStr">
        <is>
          <t>As a home occupant I want my home to notify me of maintenance concerns, such as faulty meters or leaking pipes so that I can maintain a safe home.</t>
        </is>
      </c>
    </row>
    <row r="315">
      <c r="A315" t="n">
        <v>372</v>
      </c>
      <c r="B315" t="inlineStr">
        <is>
          <t>As a music lover I want speakers to turn on where im walking towards so that i can enjoy music all over the house.</t>
        </is>
      </c>
    </row>
    <row r="316">
      <c r="A316" t="n">
        <v>373</v>
      </c>
      <c r="B316" t="inlineStr">
        <is>
          <t>As a home owner I want electrical outlets wtih USB built into them so that I do not need adapaters to charge newer tech items that work via USB.</t>
        </is>
      </c>
    </row>
    <row r="317">
      <c r="A317" t="n">
        <v>374</v>
      </c>
      <c r="B317" t="inlineStr">
        <is>
          <t>As a home occupant I want my smart home to shutter the windows when winds get too brisk or high so that the house is protected from sudden upbursts (like I live in tornado alley, so that woudl prevent damage and potentially loss of life).</t>
        </is>
      </c>
    </row>
    <row r="318">
      <c r="A318" t="n">
        <v>375</v>
      </c>
      <c r="B318" t="inlineStr">
        <is>
          <t>As a movie fan I want a home media server so that I do not have to use my data cap to stream movies.</t>
        </is>
      </c>
    </row>
    <row r="319">
      <c r="A319" t="n">
        <v>376</v>
      </c>
      <c r="B319" t="inlineStr">
        <is>
          <t>As a bbq lover I want smart thermometer so that i know when the meat is ready from inside my house while its in the  barbecue or oven.</t>
        </is>
      </c>
    </row>
    <row r="320">
      <c r="A320" t="n">
        <v>378</v>
      </c>
      <c r="B320" t="inlineStr">
        <is>
          <t>As a small pet owner I want detection of small bodies in motion so that in case a small pet like a rat gets loose I can narrow the search.</t>
        </is>
      </c>
    </row>
    <row r="321">
      <c r="A321" t="n">
        <v>379</v>
      </c>
      <c r="B321" t="inlineStr">
        <is>
          <t>As a home occupant I want my smart home to turn off the heat if anything is blocking the heater so that my house will not burn down.</t>
        </is>
      </c>
    </row>
    <row r="322">
      <c r="A322" t="n">
        <v>380</v>
      </c>
      <c r="B322" t="inlineStr">
        <is>
          <t>As a music fan I want speakers that know if I am in a room and can turn on music when I am in there so that I can have relaxing music follow me throughout the house..</t>
        </is>
      </c>
    </row>
    <row r="323">
      <c r="A323" t="n">
        <v>381</v>
      </c>
      <c r="B323" t="inlineStr">
        <is>
          <t>As a home occupant I want my refrigerator and pantry to notify me when certain ingredients are running low so that I will not run out of necessary ingredients when they are needed.</t>
        </is>
      </c>
    </row>
    <row r="324">
      <c r="A324" t="n">
        <v>382</v>
      </c>
      <c r="B324" t="inlineStr">
        <is>
          <t>As a person who has parties and entertains others I want my smart home to detect noise levels and adjust music volume on stereo when it's in party mode so that noise levels remain consistent but not obnoxious..</t>
        </is>
      </c>
    </row>
    <row r="325">
      <c r="A325" t="n">
        <v>383</v>
      </c>
      <c r="B325" t="inlineStr">
        <is>
          <t>As a home owner I want a garage door opener that can be controlled remotely so that I can make sure it is closed after I leave..</t>
        </is>
      </c>
    </row>
    <row r="326">
      <c r="A326" t="n">
        <v>384</v>
      </c>
      <c r="B326" t="inlineStr">
        <is>
          <t>As a home owner I want A buzz alert so that I can avoid a breaker trip.</t>
        </is>
      </c>
    </row>
    <row r="327">
      <c r="A327" t="n">
        <v>386</v>
      </c>
      <c r="B327" t="inlineStr">
        <is>
          <t>As a energy saver I want wall chargers to turn off after the phone is fully charged so that i save electricity.</t>
        </is>
      </c>
    </row>
    <row r="328">
      <c r="A328" t="n">
        <v>388</v>
      </c>
      <c r="B328" t="inlineStr">
        <is>
          <t>As a homeowner of a three story row home I want my smart home to have a temperature control system that knows to deliver more cold air in summer to top floors where bedrooms are so that our sleep is more sound during summer months.</t>
        </is>
      </c>
    </row>
    <row r="329">
      <c r="A329" t="n">
        <v>389</v>
      </c>
      <c r="B329" t="inlineStr">
        <is>
          <t>As a parent I want my smart house to make a sound when someone under a certain height goes in the bathroom so that my toddler doesn't flood the house.</t>
        </is>
      </c>
    </row>
    <row r="330">
      <c r="A330" t="n">
        <v>390</v>
      </c>
      <c r="B330" t="inlineStr">
        <is>
          <t>As a home owner I want The oven to talk with basic information  so that Cooking can be done properly.</t>
        </is>
      </c>
    </row>
    <row r="331">
      <c r="A331" t="n">
        <v>391</v>
      </c>
      <c r="B331" t="inlineStr">
        <is>
          <t>As a cooking enthusiast I want a faster pre-heating oven so that i can cook things without as much planning or waiting.</t>
        </is>
      </c>
    </row>
    <row r="332">
      <c r="A332" t="n">
        <v>394</v>
      </c>
      <c r="B332" t="inlineStr">
        <is>
          <t>As a home occupant I want I would like my smart home to alert me by cellphone if there is movement in my home after i leave for work so that I will know if some some broke in.</t>
        </is>
      </c>
    </row>
    <row r="333">
      <c r="A333" t="n">
        <v>395</v>
      </c>
      <c r="B333" t="inlineStr">
        <is>
          <t>As a gamer I want device to send the heat my computer produces to go out of my window so that my room doesn't overheat.</t>
        </is>
      </c>
    </row>
    <row r="334">
      <c r="A334" t="n">
        <v>398</v>
      </c>
      <c r="B334" t="inlineStr">
        <is>
          <t>As a person who works away from home I want my smart home to alert me to any odd environment fluctuations in my home that may signal fire, burst pipe, oven left on, burglary so that I can take appropriate action to rectify the situation before it becomes worse..</t>
        </is>
      </c>
    </row>
    <row r="335">
      <c r="A335" t="n">
        <v>399</v>
      </c>
      <c r="B335" t="inlineStr">
        <is>
          <t>As a pet owner I want A notification on my phone when my dog's water bowl is almost empty. so that I'll know I need to refill it soon..</t>
        </is>
      </c>
    </row>
    <row r="336">
      <c r="A336" t="n">
        <v>403</v>
      </c>
      <c r="B336" t="inlineStr">
        <is>
          <t>As a long showerer I want my shower to alert me of the current amount of hot water left so that i dont freeze in the shower.</t>
        </is>
      </c>
    </row>
    <row r="337">
      <c r="A337" t="n">
        <v>404</v>
      </c>
      <c r="B337" t="inlineStr">
        <is>
          <t>As a home owner I want A spoken alert so that I can be alerted for unauthorized energy use.</t>
        </is>
      </c>
    </row>
    <row r="338">
      <c r="A338" t="n">
        <v>405</v>
      </c>
      <c r="B338" t="inlineStr">
        <is>
          <t>As a home owner I want Toilet seat to heat so that It's warm when someone enters the bathroom .</t>
        </is>
      </c>
    </row>
    <row r="339">
      <c r="A339" t="n">
        <v>406</v>
      </c>
      <c r="B339" t="inlineStr">
        <is>
          <t>As a coffee/tea drinker/pc user I want my computer heat to be used to keep my drink hot so that i can enjoy it longer.</t>
        </is>
      </c>
    </row>
    <row r="340">
      <c r="A340" t="n">
        <v>407</v>
      </c>
      <c r="B340" t="inlineStr">
        <is>
          <t>As a home owner I want A notification on my phone if I've left the house and my stove is still on.  so that My house doesn't burn down by mistake..</t>
        </is>
      </c>
    </row>
    <row r="341">
      <c r="A341" t="n">
        <v>408</v>
      </c>
      <c r="B341" t="inlineStr">
        <is>
          <t>As a pc user I want my pc to use the heat it generates to heat my heatpad so that i can be comfortable.</t>
        </is>
      </c>
    </row>
    <row r="342">
      <c r="A342" t="n">
        <v>409</v>
      </c>
      <c r="B342" t="inlineStr">
        <is>
          <t>As a home occupant I want I would like my smart home to turn off outlets where and appliances are plugged in at night and when I leave the house. so that I can save money on electricity.</t>
        </is>
      </c>
    </row>
    <row r="343">
      <c r="A343" t="n">
        <v>410</v>
      </c>
      <c r="B343" t="inlineStr">
        <is>
          <t>As a home owner I want Room thermostat sensor so that The room is optimal temperature for an occupant .</t>
        </is>
      </c>
    </row>
    <row r="344">
      <c r="A344" t="n">
        <v>411</v>
      </c>
      <c r="B344" t="inlineStr">
        <is>
          <t>As a pet owner I want Food to be automatically dispensed when sensors notice my dog is pacing around and it is also past a certain time of day (dinner time) so that I won't have to feed him myself. .</t>
        </is>
      </c>
    </row>
    <row r="345">
      <c r="A345" t="n">
        <v>412</v>
      </c>
      <c r="B345" t="inlineStr">
        <is>
          <t>As a movie lover I want The lights to dim (all lights in the house), phone to go silent mode, and set mode on phone to automatically respond to text messages when I start playing a movie. so that I will be able to enjoy the movie without interruptions..</t>
        </is>
      </c>
    </row>
    <row r="346">
      <c r="A346" t="n">
        <v>413</v>
      </c>
      <c r="B346" t="inlineStr">
        <is>
          <t>As a home occupant I want my smart home to alert me by text when my light bulbs are about to run out so that I can change them before hand and I don't have to be in the dark..</t>
        </is>
      </c>
    </row>
    <row r="347">
      <c r="A347" t="n">
        <v>414</v>
      </c>
      <c r="B347" t="inlineStr">
        <is>
          <t>As a home owner I want CO detector to send a phone alert so that The windows can open to alleviate the gas threat.</t>
        </is>
      </c>
    </row>
    <row r="348">
      <c r="A348" t="n">
        <v>415</v>
      </c>
      <c r="B348" t="inlineStr">
        <is>
          <t>As a dog owner I want The door to the dog's room to open and let them out, while also unlocking the front door when I pass a geofence and I'm on my way home from work. so that I don't have to let them out myself when I get home. .</t>
        </is>
      </c>
    </row>
    <row r="349">
      <c r="A349" t="n">
        <v>416</v>
      </c>
      <c r="B349" t="inlineStr">
        <is>
          <t>As a home occupant I want my smart home to tell where smoke or carbon monoxide is coming from when the alarm goes off so that I can know where it is and solve the problem before it spreads.</t>
        </is>
      </c>
    </row>
    <row r="350">
      <c r="A350" t="n">
        <v>417</v>
      </c>
      <c r="B350" t="inlineStr">
        <is>
          <t>As a sleeper I want Sensors to realize when I am tossing and turning in bed and turn the temperature in the room down automatically. so that I won't wake up from being too hot..</t>
        </is>
      </c>
    </row>
    <row r="351">
      <c r="A351" t="n">
        <v>418</v>
      </c>
      <c r="B351" t="inlineStr">
        <is>
          <t>As a home owner I want Sensors to realize when there is smoke coming from the oven (and only from the area of the oven) and automatically turn the oven off while sending me an alert and giving me the option to alert the fire department as well. so that My house is saved from fire..</t>
        </is>
      </c>
    </row>
    <row r="352">
      <c r="A352" t="n">
        <v>419</v>
      </c>
      <c r="B352" t="inlineStr">
        <is>
          <t>As a home owner I want Sensors to detect when I've left a room and automatically turn off the lights.  so that I'll save energy..</t>
        </is>
      </c>
    </row>
    <row r="353">
      <c r="A353" t="n">
        <v>420</v>
      </c>
      <c r="B353" t="inlineStr">
        <is>
          <t>As a home owner I want Sensors to adjust the lights based on my current activity. So if I sit down at the computer it will turn on the desk lamp, or if It sees me sitting on the couch with the TV on it will turn the lights to 50%, but if it sees me sitting on the couch with the TV off it knows I want to read, and will adjust lights accordingly. This could work for many rooms and activities.  so that Electricity will be saved..</t>
        </is>
      </c>
    </row>
    <row r="354">
      <c r="A354" t="n">
        <v>421</v>
      </c>
      <c r="B354" t="inlineStr">
        <is>
          <t>As a pet owner I want The thermostat to be adjusted when my dog starts panting, because it means he is too hot and needs the heat turned down. so that He will be comfortable and energy will be saved. .</t>
        </is>
      </c>
    </row>
    <row r="355">
      <c r="A355" t="n">
        <v>422</v>
      </c>
      <c r="B355" t="inlineStr">
        <is>
          <t>As a home occupant I want my smart home to monitor and remember local outdoor temperatures and calculate degree heating days (or degree cooling days) so that I can accurately gauge my monthly energy use for heating and cooling..</t>
        </is>
      </c>
    </row>
    <row r="356">
      <c r="A356" t="n">
        <v>423</v>
      </c>
      <c r="B356" t="inlineStr">
        <is>
          <t>As a home owner I want Electronic usage monitor so that I can tell how much energy I'm using real time.</t>
        </is>
      </c>
    </row>
    <row r="357">
      <c r="A357" t="n">
        <v>424</v>
      </c>
      <c r="B357" t="inlineStr">
        <is>
          <t>As a environment conscious homeowner I want my smart home to tell me when energy usage is optimal to do things like run the dishwasher and do laundry so that it benefits the economy and environment by not using lots of power during high load times on the grid..</t>
        </is>
      </c>
    </row>
    <row r="358">
      <c r="A358" t="n">
        <v>425</v>
      </c>
      <c r="B358" t="inlineStr">
        <is>
          <t>As a home owner I want A self flushing toilet so that The user has to touch nothing in the lavatory .</t>
        </is>
      </c>
    </row>
    <row r="359">
      <c r="A359" t="n">
        <v>426</v>
      </c>
      <c r="B359" t="inlineStr">
        <is>
          <t>As a consumer of entertainment I want my smart home to remember optimal volume settings for TV and music throughout the house and use them unless over-ridden so that we don't have to constantly adjust the volume of music and TV because it is blaring loud or too quiet to hear..</t>
        </is>
      </c>
    </row>
    <row r="360">
      <c r="A360" t="n">
        <v>427</v>
      </c>
      <c r="B360" t="inlineStr">
        <is>
          <t>As a parent I want to have entertainment appliances aware of who is using them so that the available content can be limited to age-appropriate material..</t>
        </is>
      </c>
    </row>
    <row r="361">
      <c r="A361" t="n">
        <v>428</v>
      </c>
      <c r="B361" t="inlineStr">
        <is>
          <t>As a homeowner in a northern area I want my smart home to alert me when ice has re-formed on sidewalks and driveway so that I can clear them for safety reasons.</t>
        </is>
      </c>
    </row>
    <row r="362">
      <c r="A362" t="n">
        <v>429</v>
      </c>
      <c r="B362" t="inlineStr">
        <is>
          <t>As a home owner I want A command kitchen that controls appliances by voice so that I can remote activate anything even not in the kitchen.</t>
        </is>
      </c>
    </row>
    <row r="363">
      <c r="A363" t="n">
        <v>430</v>
      </c>
      <c r="B363" t="inlineStr">
        <is>
          <t>As a home owner I want Retina scan for front door so that Nobody else can get in.</t>
        </is>
      </c>
    </row>
    <row r="364">
      <c r="A364" t="n">
        <v>431</v>
      </c>
      <c r="B364" t="inlineStr">
        <is>
          <t>As a home occupant I want drive and walkway lighting to be turned on when people are using them at night so that occupants don't fall and the outside of the house is lit when strangers approach at night..</t>
        </is>
      </c>
    </row>
    <row r="365">
      <c r="A365" t="n">
        <v>432</v>
      </c>
      <c r="B365" t="inlineStr">
        <is>
          <t>As a home occupant I want landscape lighting to be turned on when the exterior of the house (especially windows) are approached at night so that criminals are deterred. .</t>
        </is>
      </c>
    </row>
    <row r="366">
      <c r="A366" t="n">
        <v>433</v>
      </c>
      <c r="B366" t="inlineStr">
        <is>
          <t>As a young home owner I want A home filled with entertainment so that I can host events.</t>
        </is>
      </c>
    </row>
    <row r="367">
      <c r="A367" t="n">
        <v>434</v>
      </c>
      <c r="B367" t="inlineStr">
        <is>
          <t>As a gamer I want a buzzer for when the door rings so that i can tell when i have headphones on.</t>
        </is>
      </c>
    </row>
    <row r="368">
      <c r="A368" t="n">
        <v>435</v>
      </c>
      <c r="B368" t="inlineStr">
        <is>
          <t>As a as a parent I want Home with security so that so that I can monitor nannies and my children while away.</t>
        </is>
      </c>
    </row>
    <row r="369">
      <c r="A369" t="n">
        <v>436</v>
      </c>
      <c r="B369" t="inlineStr">
        <is>
          <t>As a business owner I want a home that is also like an assistant so that I can keep up to date with my responsibilities.</t>
        </is>
      </c>
    </row>
    <row r="370">
      <c r="A370" t="n">
        <v>437</v>
      </c>
      <c r="B370" t="inlineStr">
        <is>
          <t>As a home occupant I want certain appliances (e.g., dishwasher, washing machine) to automatically delay running until times of day when electricity rates are lower so that I can save on energy costs..</t>
        </is>
      </c>
    </row>
    <row r="371">
      <c r="A371" t="n">
        <v>438</v>
      </c>
      <c r="B371" t="inlineStr">
        <is>
          <t>As a parent I want home that monitors my diet and excercising  so that I can raise healthy kids.</t>
        </is>
      </c>
    </row>
    <row r="372">
      <c r="A372" t="n">
        <v>439</v>
      </c>
      <c r="B372" t="inlineStr">
        <is>
          <t>As a environmentalist I want home that use earth friendly energy saving techniques so that I do less harm to the earth.</t>
        </is>
      </c>
    </row>
    <row r="373">
      <c r="A373" t="n">
        <v>440</v>
      </c>
      <c r="B373" t="inlineStr">
        <is>
          <t>As a home owner I want my home to notify me when someone approaches the main door so that I can be confident that the individual is not trying to break-in.</t>
        </is>
      </c>
    </row>
    <row r="374">
      <c r="A374" t="n">
        <v>441</v>
      </c>
      <c r="B374" t="inlineStr">
        <is>
          <t>As a older person I want a home that keeps me safe and secure in case of falls so that I can be protected in ill health.</t>
        </is>
      </c>
    </row>
    <row r="375">
      <c r="A375" t="n">
        <v>442</v>
      </c>
      <c r="B375" t="inlineStr">
        <is>
          <t>As a father I want my home to notify me if carbon dioxide levels exceed a certain level so that I can make sure that family will be safe.</t>
        </is>
      </c>
    </row>
    <row r="376">
      <c r="A376" t="n">
        <v>443</v>
      </c>
      <c r="B376" t="inlineStr">
        <is>
          <t>As a home occupant I want moisture sensors in my vegetable garden to regulate the drip irrigation so that I'll have a more evenly watered plants and save money on water bill..</t>
        </is>
      </c>
    </row>
    <row r="377">
      <c r="A377" t="n">
        <v>444</v>
      </c>
      <c r="B377" t="inlineStr">
        <is>
          <t>As a parent I want a home that's interactive for my kids so that they will not be bored..</t>
        </is>
      </c>
    </row>
    <row r="378">
      <c r="A378" t="n">
        <v>445</v>
      </c>
      <c r="B378" t="inlineStr">
        <is>
          <t>As a entertainment fan I want my home to notify me when my favorite TV show has been recorded on the DVR so that I can decide if I want to watch it at that time.</t>
        </is>
      </c>
    </row>
    <row r="379">
      <c r="A379" t="n">
        <v>446</v>
      </c>
      <c r="B379" t="inlineStr">
        <is>
          <t>As a pet owner I want a home that keeps track of my pets health and diet so that they can remain healthy.</t>
        </is>
      </c>
    </row>
    <row r="380">
      <c r="A380" t="n">
        <v>447</v>
      </c>
      <c r="B380" t="inlineStr">
        <is>
          <t>As a home owner I want my home to provide me access to the amount of water that I have consumed so that I conscientiously manage the amount of water that my family and home uses.</t>
        </is>
      </c>
    </row>
    <row r="381">
      <c r="A381" t="n">
        <v>448</v>
      </c>
      <c r="B381" t="inlineStr">
        <is>
          <t>As a gardener I want a home that helps me to nourish and grow my plants so that i can keep a healthy garden.</t>
        </is>
      </c>
    </row>
    <row r="382">
      <c r="A382" t="n">
        <v>449</v>
      </c>
      <c r="B382" t="inlineStr">
        <is>
          <t>As a hobbyist/woodworker I want a home that allows me to organize my tools and propose work ideas so that I can benefit in my projects.</t>
        </is>
      </c>
    </row>
    <row r="383">
      <c r="A383" t="n">
        <v>450</v>
      </c>
      <c r="B383" t="inlineStr">
        <is>
          <t>As a home owner I want my home to notify me if any outside window or door is accessed  so that I can be confident that no one is trying to break-in to my residence.</t>
        </is>
      </c>
    </row>
    <row r="384">
      <c r="A384" t="n">
        <v>451</v>
      </c>
      <c r="B384" t="inlineStr">
        <is>
          <t>As a home occupant I want monitor all our utility meters (e.g., gas, electricity, water) and alert me when we're above our typical usage so that I have fewer surprisingly large bills..</t>
        </is>
      </c>
    </row>
    <row r="385">
      <c r="A385" t="n">
        <v>452</v>
      </c>
      <c r="B385" t="inlineStr">
        <is>
          <t>As a home owner I want my home to automatically shift my music from one room to the next as I traverse from room to room so that I can enjoy the benefits of my music throughout the entire house.</t>
        </is>
      </c>
    </row>
    <row r="386">
      <c r="A386" t="n">
        <v>453</v>
      </c>
      <c r="B386" t="inlineStr">
        <is>
          <t>As a home owner I want my home to notify me if there is any standing water below my crawl space so that I can determine where water is accessing the house and be able to prevent long-term problems like mold.</t>
        </is>
      </c>
    </row>
    <row r="387">
      <c r="A387" t="n">
        <v>454</v>
      </c>
      <c r="B387" t="inlineStr">
        <is>
          <t>As a father I want my house to notify me if and when my children leave and enter the house  so that I have confidence that I always know their whereabouts.</t>
        </is>
      </c>
    </row>
    <row r="388">
      <c r="A388" t="n">
        <v>455</v>
      </c>
      <c r="B388" t="inlineStr">
        <is>
          <t>As a morning commuter I want my house to notify me if there are any accidents and/or traffic delays on the local freeways so that I can plan my commuting schedule in advance and allow myself extra time to get to work or to appointments.</t>
        </is>
      </c>
    </row>
    <row r="389">
      <c r="A389" t="n">
        <v>456</v>
      </c>
      <c r="B389" t="inlineStr">
        <is>
          <t>As a home owner I want my home to be able to alert me to where my keys and wallet are at any time so that I don't have to look in multiple rooms for these items when I need to leave.</t>
        </is>
      </c>
    </row>
    <row r="390">
      <c r="A390" t="n">
        <v>457</v>
      </c>
      <c r="B390" t="inlineStr">
        <is>
          <t>As a home owner I want my home to notify me before my smoke detector batteries starting beeping due to low power  so that I don't have to be woken up in the middle of the night when the smoke detector battery reaches low power.</t>
        </is>
      </c>
    </row>
    <row r="391">
      <c r="A391" t="n">
        <v>458</v>
      </c>
      <c r="B391" t="inlineStr">
        <is>
          <t>As a pet owner I want my house to notify me if any of my pets get outside of the house so that I have maximum time to find them and get them back inside the house before they can get lost.</t>
        </is>
      </c>
    </row>
    <row r="392">
      <c r="A392" t="n">
        <v>459</v>
      </c>
      <c r="B392" t="inlineStr">
        <is>
          <t>As a home occupant I want cooling systems to be aware of each other and coordinated so that, for example, roof exhaust fans are turned off and closed when the AC unit is needed so that I use the appropriate means of cooling and don't have to think about..</t>
        </is>
      </c>
    </row>
    <row r="393">
      <c r="A393" t="n">
        <v>460</v>
      </c>
      <c r="B393" t="inlineStr">
        <is>
          <t>As a home occupant I want my heated driveway to sense when there is snow on it so that the driveway is clear when I wake up after an overnight snowfall..</t>
        </is>
      </c>
    </row>
    <row r="394">
      <c r="A394" t="n">
        <v>461</v>
      </c>
      <c r="B394" t="inlineStr">
        <is>
          <t>As a home occupant I want to NOT have to have separate clocks on all my appliances so that I don't have to reset ten different clocks every time there is a power outage..</t>
        </is>
      </c>
    </row>
    <row r="395">
      <c r="A395" t="n">
        <v>462</v>
      </c>
      <c r="B395" t="inlineStr">
        <is>
          <t>As a home occupant I want my smart appliances to be standardized and modular so that I don't get locked into one company's product line and have more options to choose from when something needs to be replaced..</t>
        </is>
      </c>
    </row>
    <row r="396">
      <c r="A396" t="n">
        <v>463</v>
      </c>
      <c r="B396" t="inlineStr">
        <is>
          <t>As a home occupant I want smart windows that can be set open themselves at night when it's cool outside and close before the air heats up in the day so that I don't have to do this and still save on energy costs..</t>
        </is>
      </c>
    </row>
    <row r="397">
      <c r="A397" t="n">
        <v>464</v>
      </c>
      <c r="B397" t="inlineStr">
        <is>
          <t>As a home occupant I want a smart outdoor water system that automatically switches between cisterns/rain barrels, gray water system and utility supply depending on what is available so that I can easily use less town/city supplied water..</t>
        </is>
      </c>
    </row>
    <row r="398">
      <c r="A398" t="n">
        <v>467</v>
      </c>
      <c r="B398" t="inlineStr">
        <is>
          <t>As a home man I want lights to be control automatically so that time consume.</t>
        </is>
      </c>
    </row>
    <row r="399">
      <c r="A399" t="n">
        <v>469</v>
      </c>
      <c r="B399" t="inlineStr">
        <is>
          <t>As a home occupant I want a buzzer to let me know when people are on my lawn so that i will know if any strangers are approching.</t>
        </is>
      </c>
    </row>
    <row r="400">
      <c r="A400" t="n">
        <v>470</v>
      </c>
      <c r="B400" t="inlineStr">
        <is>
          <t>As a parent I want a latch on my windows so I can lock my kids windows at night so that my child is safe.</t>
        </is>
      </c>
    </row>
    <row r="401">
      <c r="A401" t="n">
        <v>471</v>
      </c>
      <c r="B401" t="inlineStr">
        <is>
          <t>As a cook I want to be able to preheat my oven using my smartphone so that cooking will be faster.</t>
        </is>
      </c>
    </row>
    <row r="402">
      <c r="A402" t="n">
        <v>472</v>
      </c>
      <c r="B402" t="inlineStr">
        <is>
          <t>As a dog owner I want a buzzer to go off when my dogs bowl is empty so that i know when to give him more food and water.</t>
        </is>
      </c>
    </row>
    <row r="403">
      <c r="A403" t="n">
        <v>473</v>
      </c>
      <c r="B403" t="inlineStr">
        <is>
          <t>As a home owner I want a buzzer to go off when my sink is full of dishes so that i know when to wash dishes.</t>
        </is>
      </c>
    </row>
    <row r="404">
      <c r="A404" t="n">
        <v>474</v>
      </c>
      <c r="B404" t="inlineStr">
        <is>
          <t>As a home owner I want a buzzer to alert me when my trash can is full so that i know when to take out the trash.</t>
        </is>
      </c>
    </row>
    <row r="405">
      <c r="A405" t="n">
        <v>476</v>
      </c>
      <c r="B405" t="inlineStr">
        <is>
          <t>As a home owner I want the stove to shut itself off when my food is done being cooked so that i never overcook or burn my food.</t>
        </is>
      </c>
    </row>
    <row r="406">
      <c r="A406" t="n">
        <v>478</v>
      </c>
      <c r="B406" t="inlineStr">
        <is>
          <t>As a home owner I want the lights to turn themselves off if they sense a room is empty so that I save energy and money on my electric bill.</t>
        </is>
      </c>
    </row>
    <row r="407">
      <c r="A407" t="n">
        <v>479</v>
      </c>
      <c r="B407" t="inlineStr">
        <is>
          <t>As a home man I want water should be automatically supplied to palnts so that save time.</t>
        </is>
      </c>
    </row>
    <row r="408">
      <c r="A408" t="n">
        <v>480</v>
      </c>
      <c r="B408" t="inlineStr">
        <is>
          <t>As a tv viewer I want I want my tv to record my favorite show if it sense I am not home so that I can watch my show when I get home..</t>
        </is>
      </c>
    </row>
    <row r="409">
      <c r="A409" t="n">
        <v>482</v>
      </c>
      <c r="B409" t="inlineStr">
        <is>
          <t>As a athlete I want my treadmill to alert me when I haven't used it in too long so that I know i need to exercise..</t>
        </is>
      </c>
    </row>
    <row r="410">
      <c r="A410" t="n">
        <v>487</v>
      </c>
      <c r="B410" t="inlineStr">
        <is>
          <t>As a caregiver to a diabetic I want my smart home to detect when someone's glucose level is dropping or becoming too high so that we can get notification if a health problem is eminent..</t>
        </is>
      </c>
    </row>
    <row r="411">
      <c r="A411" t="n">
        <v>488</v>
      </c>
      <c r="B411" t="inlineStr">
        <is>
          <t>As a parent I want to monitor when the baby is waking up from sleep so that i can turn my concentration towards by baby.</t>
        </is>
      </c>
    </row>
    <row r="412">
      <c r="A412" t="n">
        <v>489</v>
      </c>
      <c r="B412" t="inlineStr">
        <is>
          <t>As a house keeper I want to check whether i have closed all the taps so that to prevent water loss.</t>
        </is>
      </c>
    </row>
    <row r="413">
      <c r="A413" t="n">
        <v>490</v>
      </c>
      <c r="B413" t="inlineStr">
        <is>
          <t>As a home owner I want my smart home to notify me when it detects possible carbon dioxide so that a potential dangerous situation can be avoided..</t>
        </is>
      </c>
    </row>
    <row r="414">
      <c r="A414" t="n">
        <v>491</v>
      </c>
      <c r="B414" t="inlineStr">
        <is>
          <t>As a house keeper I want to check whether all the lights are off in day time so that i can reduce electricity .</t>
        </is>
      </c>
    </row>
    <row r="415">
      <c r="A415" t="n">
        <v>492</v>
      </c>
      <c r="B415" t="inlineStr">
        <is>
          <t>As a home occupant I want my smart home to cut off electrical equipment/appliances when no one is in a particular room so that we can save on electricity bills and be more environmentally aware..</t>
        </is>
      </c>
    </row>
    <row r="416">
      <c r="A416" t="n">
        <v>493</v>
      </c>
      <c r="B416" t="inlineStr">
        <is>
          <t>As a controller I want to on my a/c automatically when the room temperature raises above 30 degree celcius so that i can feel free when i return home.</t>
        </is>
      </c>
    </row>
    <row r="417">
      <c r="A417" t="n">
        <v>494</v>
      </c>
      <c r="B417" t="inlineStr">
        <is>
          <t>As a home owner I want my smart phone to come with an app that whenever someone rings the doorbell, I can see on my phone, tablet, computer a picture/video of who it is from anywhere in the house so that we can know who is at the door more securely and be ahead of any possible problems..</t>
        </is>
      </c>
    </row>
    <row r="418">
      <c r="A418" t="n">
        <v>495</v>
      </c>
      <c r="B418" t="inlineStr">
        <is>
          <t>As a gardener I want to water the plants automatically when the soil gets dry so that i can have all my plants fresh and healthy.</t>
        </is>
      </c>
    </row>
    <row r="419">
      <c r="A419" t="n">
        <v>496</v>
      </c>
      <c r="B419" t="inlineStr">
        <is>
          <t>As a occupant I want lights to come on when I am in a room so that trip over anything.</t>
        </is>
      </c>
    </row>
    <row r="420">
      <c r="A420" t="n">
        <v>497</v>
      </c>
      <c r="B420" t="inlineStr">
        <is>
          <t>As a occupant I want lights to go off when I leave a room so that energy is saved.</t>
        </is>
      </c>
    </row>
    <row r="421">
      <c r="A421" t="n">
        <v>498</v>
      </c>
      <c r="B421" t="inlineStr">
        <is>
          <t>As a home owner I want shutters that close or open based on weather so that the house can be naturally lit when sunny.</t>
        </is>
      </c>
    </row>
    <row r="422">
      <c r="A422" t="n">
        <v>499</v>
      </c>
      <c r="B422" t="inlineStr">
        <is>
          <t>As a motion detector I want to know any unusual moves like cats, dogs,other than humans so that i can be alert.</t>
        </is>
      </c>
    </row>
    <row r="423">
      <c r="A423" t="n">
        <v>500</v>
      </c>
      <c r="B423" t="inlineStr">
        <is>
          <t>As a home owner I want music to play when I am in the kitchen so that I can listen to music while cooking/cleanin.</t>
        </is>
      </c>
    </row>
    <row r="424">
      <c r="A424" t="n">
        <v>501</v>
      </c>
      <c r="B424" t="inlineStr">
        <is>
          <t>As a pet owner I want my smart home to automatically refill the pet's water and food bowl through an automated system so that I know my pet will be taken care of in the event that no one is home or someone has forgotten to feed them..</t>
        </is>
      </c>
    </row>
    <row r="425">
      <c r="A425" t="n">
        <v>502</v>
      </c>
      <c r="B425" t="inlineStr">
        <is>
          <t>As a parent I want temperature monitoring in kid's room so that they can feel comfortable at night.</t>
        </is>
      </c>
    </row>
    <row r="426">
      <c r="A426" t="n">
        <v>503</v>
      </c>
      <c r="B426" t="inlineStr">
        <is>
          <t>As a home owner I want ceiling fans to turn on when house temperature begins to rise so that the house can cool without using AC.</t>
        </is>
      </c>
    </row>
    <row r="427">
      <c r="A427" t="n">
        <v>504</v>
      </c>
      <c r="B427" t="inlineStr">
        <is>
          <t>As a parent I want my smart home to prevent children from accessing the oven and other dangerous appliances when an adult is not at home so that a possible disaster or injury can be avoided..</t>
        </is>
      </c>
    </row>
    <row r="428">
      <c r="A428" t="n">
        <v>505</v>
      </c>
      <c r="B428" t="inlineStr">
        <is>
          <t>As a home owner I want a door lock that acts as a camera and speaker so that I can communicate with people at the door if I am not home.</t>
        </is>
      </c>
    </row>
    <row r="429">
      <c r="A429" t="n">
        <v>506</v>
      </c>
      <c r="B429" t="inlineStr">
        <is>
          <t>As a servant I want to alert me when something usual happened like fire,smoke so that i can prevent from bad things that might happen.</t>
        </is>
      </c>
    </row>
    <row r="430">
      <c r="A430" t="n">
        <v>507</v>
      </c>
      <c r="B430" t="inlineStr">
        <is>
          <t>As a music lover I want my smart home to react to my voice and play whatever song I request so that I may enjoy my favorite tunes in whatever room I'm in..</t>
        </is>
      </c>
    </row>
    <row r="431">
      <c r="A431" t="n">
        <v>508</v>
      </c>
      <c r="B431" t="inlineStr">
        <is>
          <t>As a manager I want to alert me when i need to service my fridge, washing machine so that i can do that in time.</t>
        </is>
      </c>
    </row>
    <row r="432">
      <c r="A432" t="n">
        <v>509</v>
      </c>
      <c r="B432" t="inlineStr">
        <is>
          <t>As a home occupant I want my smart phone to make movie and tv show recommendations based on previous choices so that we can discover more entertainment choices..</t>
        </is>
      </c>
    </row>
    <row r="433">
      <c r="A433" t="n">
        <v>510</v>
      </c>
      <c r="B433" t="inlineStr">
        <is>
          <t>As a home owner I want a door that will open for my dog so that dog can go out for outside time.</t>
        </is>
      </c>
    </row>
    <row r="434">
      <c r="A434" t="n">
        <v>512</v>
      </c>
      <c r="B434" t="inlineStr">
        <is>
          <t>As a bird owner I want ceiling fans to shut off when bird is in the room so that he doesn't get chopped.</t>
        </is>
      </c>
    </row>
    <row r="435">
      <c r="A435" t="n">
        <v>513</v>
      </c>
      <c r="B435" t="inlineStr">
        <is>
          <t>As a occupant I want tv to shut off when I fall asleep so that energy is saved.</t>
        </is>
      </c>
    </row>
    <row r="436">
      <c r="A436" t="n">
        <v>515</v>
      </c>
      <c r="B436" t="inlineStr">
        <is>
          <t>As a home owner I want security cameras that record hours of important footage without cloud services so that I can review any feed without the hassle of dealing with outside companies.</t>
        </is>
      </c>
    </row>
    <row r="437">
      <c r="A437" t="n">
        <v>516</v>
      </c>
      <c r="B437" t="inlineStr">
        <is>
          <t>As a parent I want to monitor what the baby is doing all the time so that i can know what my baby is doing now and then.</t>
        </is>
      </c>
    </row>
    <row r="438">
      <c r="A438" t="n">
        <v>517</v>
      </c>
      <c r="B438" t="inlineStr">
        <is>
          <t>As a home owner I want a smart remote so that it can control EVERY electronic device.</t>
        </is>
      </c>
    </row>
    <row r="439">
      <c r="A439" t="n">
        <v>519</v>
      </c>
      <c r="B439" t="inlineStr">
        <is>
          <t>As a servant I want to find whether unnecessary things are there in floor like needles, hocks, so that i can prevent my baby from putting it in mouth.</t>
        </is>
      </c>
    </row>
    <row r="440">
      <c r="A440" t="n">
        <v>520</v>
      </c>
      <c r="B440" t="inlineStr">
        <is>
          <t>As a cook I want microwave or oven chimes to be broadcasted to every room I am in so that I can hear them.</t>
        </is>
      </c>
    </row>
    <row r="441">
      <c r="A441" t="n">
        <v>521</v>
      </c>
      <c r="B441" t="inlineStr">
        <is>
          <t>As a home owner I want garage door automation so that I know when I left garage door open.</t>
        </is>
      </c>
    </row>
    <row r="442">
      <c r="A442" t="n">
        <v>523</v>
      </c>
      <c r="B442" t="inlineStr">
        <is>
          <t>As a occupant I want mailbox to signal me when something's in it so that I can go get the mail.</t>
        </is>
      </c>
    </row>
    <row r="443">
      <c r="A443" t="n">
        <v>524</v>
      </c>
      <c r="B443" t="inlineStr">
        <is>
          <t>As a home owner I want a smart fridge so that it can monitor what is running low so that I can be notified to buy more.</t>
        </is>
      </c>
    </row>
    <row r="444">
      <c r="A444" t="n">
        <v>525</v>
      </c>
      <c r="B444" t="inlineStr">
        <is>
          <t>As a occupant I want door camera to show image on my smartphone or tv when someone is outside so that so I can see who it is.</t>
        </is>
      </c>
    </row>
    <row r="445">
      <c r="A445" t="n">
        <v>526</v>
      </c>
      <c r="B445" t="inlineStr">
        <is>
          <t>As a pet owner I want pet food to automatically come out of wherever it is kept when they are hungry so that I don't have to feed them.</t>
        </is>
      </c>
    </row>
    <row r="446">
      <c r="A446" t="n">
        <v>528</v>
      </c>
      <c r="B446" t="inlineStr">
        <is>
          <t>As a occupant I want water to turn off when I am brushing my teeth so that I don't have to do it.</t>
        </is>
      </c>
    </row>
    <row r="447">
      <c r="A447" t="n">
        <v>529</v>
      </c>
      <c r="B447" t="inlineStr">
        <is>
          <t>As a occupant I want lights to come on when I am supposed to wake up in the morning so that it is easier to wake up.</t>
        </is>
      </c>
    </row>
    <row r="448">
      <c r="A448" t="n">
        <v>531</v>
      </c>
      <c r="B448" t="inlineStr">
        <is>
          <t>As a home occupant I want my smart home to let me know if there is any door or window unlocked so that I can better protect my family from intruders..</t>
        </is>
      </c>
    </row>
    <row r="449">
      <c r="A449" t="n">
        <v>532</v>
      </c>
      <c r="B449" t="inlineStr">
        <is>
          <t>As a occupant I want vacuum to come on automatically when I spill something so that I don't have to turn it on.</t>
        </is>
      </c>
    </row>
    <row r="450">
      <c r="A450" t="n">
        <v>534</v>
      </c>
      <c r="B450" t="inlineStr">
        <is>
          <t>As a parent I want The front and back door to lock whenever my child under 8 years old tries to open it without entering a selected code so that They will not open the door without permission, leave the house without my knowledge.</t>
        </is>
      </c>
    </row>
    <row r="451">
      <c r="A451" t="n">
        <v>535</v>
      </c>
      <c r="B451" t="inlineStr">
        <is>
          <t>As a home owner I want the rooms lights and appliances to turn off or go into sleep/hibernation mode after 30 minutes of no movement in the room so that energy and money can be saved, so electricity is only used when needed.</t>
        </is>
      </c>
    </row>
    <row r="452">
      <c r="A452" t="n">
        <v>536</v>
      </c>
      <c r="B452" t="inlineStr">
        <is>
          <t>As a home occupant I want my smart home to make a sound to warn me if my door is not locked at night. so that My home remains secure.</t>
        </is>
      </c>
    </row>
    <row r="453">
      <c r="A453" t="n">
        <v>537</v>
      </c>
      <c r="B453" t="inlineStr">
        <is>
          <t>As a home occupant I want my dishwasher to emit a beeping sound or text my phone when it is full and when the dishes are cleaned so that I can remember to turn on the dishwasher when it is full and to remember to turn it off when the dishes are cleaned to save energy and time.</t>
        </is>
      </c>
    </row>
    <row r="454">
      <c r="A454" t="n">
        <v>538</v>
      </c>
      <c r="B454" t="inlineStr">
        <is>
          <t>As a home occupant I want My smart home to turn off appliances when they are not in use. so that I save and not misuse energy.</t>
        </is>
      </c>
    </row>
    <row r="455">
      <c r="A455" t="n">
        <v>539</v>
      </c>
      <c r="B455" t="inlineStr">
        <is>
          <t>As a parent I want the oven and stove to not turn on unless a certain sequence of buttons or a code is entered so that no child will be able to turn it on by themselves.</t>
        </is>
      </c>
    </row>
    <row r="456">
      <c r="A456" t="n">
        <v>540</v>
      </c>
      <c r="B456" t="inlineStr">
        <is>
          <t>As a home occupant I want my smart home to make a sound when a package is left outside my door, so that I collect them eimmediately.</t>
        </is>
      </c>
    </row>
    <row r="457">
      <c r="A457" t="n">
        <v>541</v>
      </c>
      <c r="B457" t="inlineStr">
        <is>
          <t>As a home occupant I want my home to notify me when I am using too much energy. so that I reduce on amount of energy use.</t>
        </is>
      </c>
    </row>
    <row r="458">
      <c r="A458" t="n">
        <v>542</v>
      </c>
      <c r="B458" t="inlineStr">
        <is>
          <t>As a home occupant I want my smart home to adjust to the weather conditions outside, when I am inside/home so that my home is always at a pleasant temperature, no matter the weather outside. In the summer I want the air conditioning to adjust to a comfortable temperature, in the winter I want the heat to adjust to a comfortable temperature .</t>
        </is>
      </c>
    </row>
    <row r="459">
      <c r="A459" t="n">
        <v>543</v>
      </c>
      <c r="B459" t="inlineStr">
        <is>
          <t>As a home occupant I want the floors in my bathroom to warm up when I get in or out of the shower so that I don't have to enter or exit the shower into a cold bathroom or have to touch a cold bathroom floor.</t>
        </is>
      </c>
    </row>
    <row r="460">
      <c r="A460" t="n">
        <v>544</v>
      </c>
      <c r="B460" t="inlineStr">
        <is>
          <t>As a home occupant I want my smart home to open the blinds in the morning so that the morning sunlight can come in.</t>
        </is>
      </c>
    </row>
    <row r="461">
      <c r="A461" t="n">
        <v>545</v>
      </c>
      <c r="B461" t="inlineStr">
        <is>
          <t>As a home occupant I want the temperature in the bathroom to adjust  so that the mirrors in the bathroom begin to defog as soon as the water in the shower stops.</t>
        </is>
      </c>
    </row>
    <row r="462">
      <c r="A462" t="n">
        <v>546</v>
      </c>
      <c r="B462" t="inlineStr">
        <is>
          <t>As a home occupant I want all the rooms to have a humidifier that works with the heating and cooling system  so that energy can be saved, the air in my home will be cleaner and to suck up excess moisture in the home.</t>
        </is>
      </c>
    </row>
    <row r="463">
      <c r="A463" t="n">
        <v>547</v>
      </c>
      <c r="B463" t="inlineStr">
        <is>
          <t>As a home occupant I want my smart home to have a whole home sound system with individual control for each room. so that I enjoy the music in whichever room I go into..</t>
        </is>
      </c>
    </row>
    <row r="464">
      <c r="A464" t="n">
        <v>548</v>
      </c>
      <c r="B464" t="inlineStr">
        <is>
          <t>As a home occupant I want my smart home to warn me if there is mold in the air, in my fridge or bathroom. so that I maintain a healthy environment.</t>
        </is>
      </c>
    </row>
    <row r="465">
      <c r="A465" t="n">
        <v>549</v>
      </c>
      <c r="B465" t="inlineStr">
        <is>
          <t>As a home occupant I want my smart home to notify me when my carpet needs cleaning. so that I maintain a clean and healthy environment.</t>
        </is>
      </c>
    </row>
    <row r="466">
      <c r="A466" t="n">
        <v>550</v>
      </c>
      <c r="B466" t="inlineStr">
        <is>
          <t>As a home occupant I want the lights in the house to be adjustable so that so that if I have a party I can set mood lighting, disco balls, or lasers to emit from the lighting features that are already in place in my home at the touch of a button.</t>
        </is>
      </c>
    </row>
    <row r="467">
      <c r="A467" t="n">
        <v>551</v>
      </c>
      <c r="B467" t="inlineStr">
        <is>
          <t>As a home occupant I want my smart home to switch to a channel on TV and  text me when there is breaking news of great importance. so that Safety and health awareness. .</t>
        </is>
      </c>
    </row>
    <row r="468">
      <c r="A468" t="n">
        <v>552</v>
      </c>
      <c r="B468" t="inlineStr">
        <is>
          <t>As a home occupant I want the windows in my home to adjust to the sunlight or lack of sunlight so that if it is too sunny, the windows will keep the hot sun out by becoming darker, if it is cold the windows will adjust and keep the warm air inside the house.</t>
        </is>
      </c>
    </row>
    <row r="469">
      <c r="A469" t="n">
        <v>553</v>
      </c>
      <c r="B469" t="inlineStr">
        <is>
          <t>As a home occupant I want my smart home to warn me when there is potential damage to the floors, walls or carpet. so that I effectively maintain the quality of my home.</t>
        </is>
      </c>
    </row>
    <row r="470">
      <c r="A470" t="n">
        <v>554</v>
      </c>
      <c r="B470" t="inlineStr">
        <is>
          <t>As a home occupant I want the smoke detector to alert me to fires, smoke, carbon monoxide in a human voice that tells me where the danger is so that I can find the best way to get out of the house, call for help and avoid the room that is dangerous .</t>
        </is>
      </c>
    </row>
    <row r="471">
      <c r="A471" t="n">
        <v>555</v>
      </c>
      <c r="B471" t="inlineStr">
        <is>
          <t>As a pet owner I want my smart home to broadcast video to my phone so that I can keep an eye on my dog when I'm away.</t>
        </is>
      </c>
    </row>
    <row r="472">
      <c r="A472" t="n">
        <v>556</v>
      </c>
      <c r="B472" t="inlineStr">
        <is>
          <t>As a pet owner I want a smart home that alerts me when my pet has left the premises by a tracker that is attached to his collar so that I can make sure my pet is safe .</t>
        </is>
      </c>
    </row>
    <row r="473">
      <c r="A473" t="n">
        <v>557</v>
      </c>
      <c r="B473" t="inlineStr">
        <is>
          <t>As a single female I want a smart home that alerts my phone when a locked door or window has been opened so that I am aware of potential break-ins .</t>
        </is>
      </c>
    </row>
    <row r="474">
      <c r="A474" t="n">
        <v>558</v>
      </c>
      <c r="B474" t="inlineStr">
        <is>
          <t>As a home occupant I want a home that features lights that can be remotely controlled via my smart phone so that I can dim or turn on/off lights even when I am not home.</t>
        </is>
      </c>
    </row>
    <row r="475">
      <c r="A475" t="n">
        <v>559</v>
      </c>
      <c r="B475" t="inlineStr">
        <is>
          <t>As a home occupant I want a smart home that features vacuum terminals built into the corner of certain corners of the house so that I can conveniently sweep without having to use a dustpan.</t>
        </is>
      </c>
    </row>
    <row r="476">
      <c r="A476" t="n">
        <v>560</v>
      </c>
      <c r="B476" t="inlineStr">
        <is>
          <t>As a home occupant I want smart home that has a mail receptacle that has sensors to alert me when mail has been delivered so that I can promptly retrieve my mail without having to worry about theft.</t>
        </is>
      </c>
    </row>
    <row r="477">
      <c r="A477" t="n">
        <v>561</v>
      </c>
      <c r="B477" t="inlineStr">
        <is>
          <t>As a home occupant I want smart home that features door locks that can be remotely locked and unlocked via a passcode on my phone so that I can always check my phone to see if the doors are locked.</t>
        </is>
      </c>
    </row>
    <row r="478">
      <c r="A478" t="n">
        <v>562</v>
      </c>
      <c r="B478" t="inlineStr">
        <is>
          <t>As a home occupant I want a smart home that has motion sensors that I can program to trigger music/lighting/audio reminders when I enter a certain room so that I can benefit from the convenience of not having to turn things on manually, and also to remember why I go to certain rooms in the first place.</t>
        </is>
      </c>
    </row>
    <row r="479">
      <c r="A479" t="n">
        <v>563</v>
      </c>
      <c r="B479" t="inlineStr">
        <is>
          <t>As a home occupant I want a smart home that have controls that allow me to trigger appliances in the kitchen from my bedroom so that when I wake up, I can start the coffee or boiling kettle when I turn off my alarm clock.</t>
        </is>
      </c>
    </row>
    <row r="480">
      <c r="A480" t="n">
        <v>564</v>
      </c>
      <c r="B480" t="inlineStr">
        <is>
          <t>As a home occupant I want a smart home that features usage statistics that can calculate electric and water output according to room so that I can keep track of my energy usage .</t>
        </is>
      </c>
    </row>
    <row r="481">
      <c r="A481" t="n">
        <v>573</v>
      </c>
      <c r="B481" t="inlineStr">
        <is>
          <t>As a forgetful person I want a refrigerator that tells me when my food is about to expire, and makes lists for the items I need so that I'll know what I need to buy while I'm at the store by reviewing the data on my smartphone..</t>
        </is>
      </c>
    </row>
    <row r="482">
      <c r="A482" t="n">
        <v>574</v>
      </c>
      <c r="B482" t="inlineStr">
        <is>
          <t>As a resourceful person I want a central air conditioning unit that automatically orders new air filters for itself when air quality diminishes so that I can maximize energy efficiency and air health.</t>
        </is>
      </c>
    </row>
    <row r="483">
      <c r="A483" t="n">
        <v>575</v>
      </c>
      <c r="B483" t="inlineStr">
        <is>
          <t>As a person who appreciates simplicity I want a smart door that communicates with my phone and unlocks itself automatically when I'm next to it, then locks itself once I'm inside so that I don't have to fumble around with keys when I'm trying to get into my home, and I know it's always secure..</t>
        </is>
      </c>
    </row>
    <row r="484">
      <c r="A484" t="n">
        <v>576</v>
      </c>
      <c r="B484" t="inlineStr">
        <is>
          <t>As a person who is concerned about delivered packages being left outside I want a smart doorbell that notifies me when it's rang, so that I can communicate with the postal worker and sign for my package from my phone, and also give them instructions on where to put the package - perhaps even unlocking the door temporarily for them so that I can know that even when I'm away from home, my packages are safe..</t>
        </is>
      </c>
    </row>
    <row r="485">
      <c r="A485" t="n">
        <v>577</v>
      </c>
      <c r="B485" t="inlineStr">
        <is>
          <t>As a person who appreciates convenience I want a smart chair that knows who is sitting in it, then turns on the tv/entertainment system based on that individual's preferences, then turns if off or pauses media when I stand up so that I can save energy from my entertainment, and also have my preferences loaded instantly when I sit down..</t>
        </is>
      </c>
    </row>
    <row r="486">
      <c r="A486" t="n">
        <v>578</v>
      </c>
      <c r="B486" t="inlineStr">
        <is>
          <t>As a person who is concerned about health I want smart plates for food that can determine what type of food I've placed on it, and aggregate nutritional information to be displayed on a smart table while I'm eating so that I can prepare healthy meals and keep track of my nutritional intake..</t>
        </is>
      </c>
    </row>
    <row r="487">
      <c r="A487" t="n">
        <v>579</v>
      </c>
      <c r="B487" t="inlineStr">
        <is>
          <t>As a person who doesn't wake up easily in the morning I want a smart alarm clock that knows my name and talks to me, convincing me to wake up, and reminding me of my appointments for the day that I'm going to be late for. Maybe it could talk with my smartphone about how lazy I'm being, and how we go through this every morning. so that I could be motivated to wake up with ease..</t>
        </is>
      </c>
    </row>
    <row r="488">
      <c r="A488" t="n">
        <v>580</v>
      </c>
      <c r="B488" t="inlineStr">
        <is>
          <t>As a person who's concerned with energy consumption I want a smart dryer that can determine when my clothes are dry, then turn itself off and send me a notification on my phone so that I'm not wasting energy by over-drying my clothes, and I'll know when to change loads..</t>
        </is>
      </c>
    </row>
    <row r="489">
      <c r="A489" t="n">
        <v>581</v>
      </c>
      <c r="B489" t="inlineStr">
        <is>
          <t>As a person concerned with energy consumption I want smart outlets for my electronics that can be programmed individually to completely cut power on specific electronics when they're not in use so that I'll know that I'm not wasting any unnecessary electricity.</t>
        </is>
      </c>
    </row>
    <row r="490">
      <c r="A490" t="n">
        <v>582</v>
      </c>
      <c r="B490" t="inlineStr">
        <is>
          <t>As a person who appreciates efficiency I want a smart washing machine that can order its own detergents/supplies when needed so that I'll always have laundry supplies without having to think about it.</t>
        </is>
      </c>
    </row>
    <row r="491">
      <c r="A491" t="n">
        <v>583</v>
      </c>
      <c r="B491" t="inlineStr">
        <is>
          <t>As a person who always likes to have a new look I want a smart closet, with smart hangers, that can tell me the last time I wore the clothing that's hanging from a specific rack so that I can easily pick my wardrobe for the day.</t>
        </is>
      </c>
    </row>
    <row r="492">
      <c r="A492" t="n">
        <v>584</v>
      </c>
      <c r="B492" t="inlineStr">
        <is>
          <t>As a person concerned with health and safety I want smart faucets on my sink that monitor the water for pollutants, and alert me if any new threats are found so that I can know that I'm drinking clean, healthy water..</t>
        </is>
      </c>
    </row>
    <row r="493">
      <c r="A493" t="n">
        <v>585</v>
      </c>
      <c r="B493" t="inlineStr">
        <is>
          <t>As a person who often loses things I want smart floors and furniture that can tell me if a small object is resting somewhere it shouldn't be (like if I couldn't find my keys) so that I can review where misplaced objects are located, and find them.</t>
        </is>
      </c>
    </row>
    <row r="494">
      <c r="A494" t="n">
        <v>599</v>
      </c>
      <c r="B494" t="inlineStr">
        <is>
          <t>As a tv watcher I want recommendations of new tv shows so that i can know what is new.</t>
        </is>
      </c>
    </row>
    <row r="495">
      <c r="A495" t="n">
        <v>600</v>
      </c>
      <c r="B495" t="inlineStr">
        <is>
          <t>As a home occupant I want Automatic doors so that cool temperature can be kept in during the winter/warm temperature can be kept out without hassle.</t>
        </is>
      </c>
    </row>
    <row r="496">
      <c r="A496" t="n">
        <v>603</v>
      </c>
      <c r="B496" t="inlineStr">
        <is>
          <t>As a tv watcher I want to know when I am about to fall asleep so that I do not watch too much tv.</t>
        </is>
      </c>
    </row>
    <row r="497">
      <c r="A497" t="n">
        <v>605</v>
      </c>
      <c r="B497" t="inlineStr">
        <is>
          <t>As a home owner I want my smart home to let me know the best way to maximize my living space so that I can remodel or rearrange my house accordingly  .</t>
        </is>
      </c>
    </row>
    <row r="498">
      <c r="A498" t="n">
        <v>606</v>
      </c>
      <c r="B498" t="inlineStr">
        <is>
          <t>As a parent I want to know when my kids are leaving the house so that I can know what they are up to.</t>
        </is>
      </c>
    </row>
    <row r="499">
      <c r="A499" t="n">
        <v>607</v>
      </c>
      <c r="B499" t="inlineStr">
        <is>
          <t>As a pet owner I want my smart home to clean my cats's litter box whenever its soiled so that I don't have to breathe in the fumes from the litter box.</t>
        </is>
      </c>
    </row>
    <row r="500">
      <c r="A500" t="n">
        <v>608</v>
      </c>
      <c r="B500" t="inlineStr">
        <is>
          <t>As a home occupant I want Automatic lights so that all the lights' temperature, shade, and position can be controlled with an app.</t>
        </is>
      </c>
    </row>
    <row r="501">
      <c r="A501" t="n">
        <v>609</v>
      </c>
      <c r="B501" t="inlineStr">
        <is>
          <t>As a parent I want to know when my children are not feeling well so that i can take them to hospital.</t>
        </is>
      </c>
    </row>
    <row r="502">
      <c r="A502" t="n">
        <v>611</v>
      </c>
      <c r="B502" t="inlineStr">
        <is>
          <t>As a home occupant I want an alert when someone drives up to my house. so that I can put the dogs out back and don't have to listen to all the barking..</t>
        </is>
      </c>
    </row>
    <row r="503">
      <c r="A503" t="n">
        <v>612</v>
      </c>
      <c r="B503" t="inlineStr">
        <is>
          <t>As a parent I want to know when there is an intruder so that I can call the police.</t>
        </is>
      </c>
    </row>
    <row r="504">
      <c r="A504" t="n">
        <v>613</v>
      </c>
      <c r="B504" t="inlineStr">
        <is>
          <t>As a home owner I want my smart home to let me know how money I am saving on Energy so that I can keep track of my energy usage.</t>
        </is>
      </c>
    </row>
    <row r="505">
      <c r="A505" t="n">
        <v>616</v>
      </c>
      <c r="B505" t="inlineStr">
        <is>
          <t>As a home occupant I want sensor to let me know if there are unpleasant odors and the area they come from so that my house always smells good.</t>
        </is>
      </c>
    </row>
    <row r="506">
      <c r="A506" t="n">
        <v>617</v>
      </c>
      <c r="B506" t="inlineStr">
        <is>
          <t>As a home owner I want my smart home to keep track of my food consumption so that I can keep track of my grocery shopping.</t>
        </is>
      </c>
    </row>
    <row r="507">
      <c r="A507" t="n">
        <v>618</v>
      </c>
      <c r="B507" t="inlineStr">
        <is>
          <t>As a home owner I want when the plants need to be watered so that they can remain healthy.</t>
        </is>
      </c>
    </row>
    <row r="508">
      <c r="A508" t="n">
        <v>620</v>
      </c>
      <c r="B508" t="inlineStr">
        <is>
          <t>As a home occupant I want an alert when there is smoke in the house. so that I can get out..</t>
        </is>
      </c>
    </row>
    <row r="509">
      <c r="A509" t="n">
        <v>621</v>
      </c>
      <c r="B509" t="inlineStr">
        <is>
          <t>As a home occupant I want Smart surveillance systems so that cameras can be added and looked at on a smartphone while the home owner is away.</t>
        </is>
      </c>
    </row>
    <row r="510">
      <c r="A510" t="n">
        <v>622</v>
      </c>
      <c r="B510" t="inlineStr">
        <is>
          <t>As a home occupant I want my smart home to adjust the temperature depending on if someone is home or not so that I save energy and money on my gas bill.</t>
        </is>
      </c>
    </row>
    <row r="511">
      <c r="A511" t="n">
        <v>623</v>
      </c>
      <c r="B511" t="inlineStr">
        <is>
          <t>As a parent I want gas leak so that I can get it fixed.</t>
        </is>
      </c>
    </row>
    <row r="512">
      <c r="A512" t="n">
        <v>624</v>
      </c>
      <c r="B512" t="inlineStr">
        <is>
          <t>As a home occupant I want electronic windows so that I can open the window with my phone when I am not home.</t>
        </is>
      </c>
    </row>
    <row r="513">
      <c r="A513" t="n">
        <v>625</v>
      </c>
      <c r="B513" t="inlineStr">
        <is>
          <t>As a home owner I want my smart home to keep track of my scheldule so that I will not be late and know what I have to take care of.</t>
        </is>
      </c>
    </row>
    <row r="514">
      <c r="A514" t="n">
        <v>627</v>
      </c>
      <c r="B514" t="inlineStr">
        <is>
          <t>As a home occupant I want Moisture and humidity sensor so that I can get the ideal temperature while being able to save the most amount of money.</t>
        </is>
      </c>
    </row>
    <row r="515">
      <c r="A515" t="n">
        <v>628</v>
      </c>
      <c r="B515" t="inlineStr">
        <is>
          <t>As a parent I want my smart home to keep track of my kids school grades so that I can keep up to date with their education.</t>
        </is>
      </c>
    </row>
    <row r="516">
      <c r="A516" t="n">
        <v>629</v>
      </c>
      <c r="B516" t="inlineStr">
        <is>
          <t>As a man I want to know when I need to exercise so that I can be healthy.</t>
        </is>
      </c>
    </row>
    <row r="517">
      <c r="A517" t="n">
        <v>631</v>
      </c>
      <c r="B517" t="inlineStr">
        <is>
          <t>As a man I want when I should go to sleep so that I cannot waste time and be healthy.</t>
        </is>
      </c>
    </row>
    <row r="518">
      <c r="A518" t="n">
        <v>632</v>
      </c>
      <c r="B518" t="inlineStr">
        <is>
          <t>As a parent I want my smart home to remind me of any activities my kids need to go to so that I don't forget.</t>
        </is>
      </c>
    </row>
    <row r="519">
      <c r="A519" t="n">
        <v>633</v>
      </c>
      <c r="B519" t="inlineStr">
        <is>
          <t>As a home occupant I want built in clocks in the tv's in each room so that I will know what time it is when I am watching tv.</t>
        </is>
      </c>
    </row>
    <row r="520">
      <c r="A520" t="n">
        <v>634</v>
      </c>
      <c r="B520" t="inlineStr">
        <is>
          <t>As a home occupant I want Automated cleaners so that I don't have to worry about cleaning the floor/tiles etc. .</t>
        </is>
      </c>
    </row>
    <row r="521">
      <c r="A521" t="n">
        <v>635</v>
      </c>
      <c r="B521" t="inlineStr">
        <is>
          <t>As a home occupant I want an energy feature that tells me when I have used a certain amount of electricity. so that I can conserve electricity and save money..</t>
        </is>
      </c>
    </row>
    <row r="522">
      <c r="A522" t="n">
        <v>637</v>
      </c>
      <c r="B522" t="inlineStr">
        <is>
          <t>As a parent I want to know what my children are doing so that I can monitor their activities.</t>
        </is>
      </c>
    </row>
    <row r="523">
      <c r="A523" t="n">
        <v>638</v>
      </c>
      <c r="B523" t="inlineStr">
        <is>
          <t>As a home owner I want My smart home to keep me entertained so that so that I do not get bored.</t>
        </is>
      </c>
    </row>
    <row r="524">
      <c r="A524" t="n">
        <v>639</v>
      </c>
      <c r="B524" t="inlineStr">
        <is>
          <t>As a home owner I want my washing machine to measure the adequate amount of soap I need and water I need to wash a given load of laundry so that save water and save money on water and soap.</t>
        </is>
      </c>
    </row>
    <row r="525">
      <c r="A525" t="n">
        <v>640</v>
      </c>
      <c r="B525" t="inlineStr">
        <is>
          <t>As a home occupant I want to turn off the air conditioner when I am away from home so that I can save energy.</t>
        </is>
      </c>
    </row>
    <row r="526">
      <c r="A526" t="n">
        <v>641</v>
      </c>
      <c r="B526" t="inlineStr">
        <is>
          <t>As a home owner I want my television to alert me when someone calls the home line so that I don't miss a call when I have the TV blasting..</t>
        </is>
      </c>
    </row>
    <row r="527">
      <c r="A527" t="n">
        <v>642</v>
      </c>
      <c r="B527" t="inlineStr">
        <is>
          <t>As a home owner I want my smart home to keep track of my health so that I can stay healty.</t>
        </is>
      </c>
    </row>
    <row r="528">
      <c r="A528" t="n">
        <v>643</v>
      </c>
      <c r="B528" t="inlineStr">
        <is>
          <t>As a home occupant I want a sensor in the refrigerator that light up the container if food starts going bad so that so that there will be no sickness.</t>
        </is>
      </c>
    </row>
    <row r="529">
      <c r="A529" t="n">
        <v>645</v>
      </c>
      <c r="B529" t="inlineStr">
        <is>
          <t>As a home occupant I want Controllable applicances so that I can control the power supply to all appliances and turn it off in order to save energy.</t>
        </is>
      </c>
    </row>
    <row r="530">
      <c r="A530" t="n">
        <v>646</v>
      </c>
      <c r="B530" t="inlineStr">
        <is>
          <t>As a parent I want control who my children open the door for when the doorbell rings so that they don't inadvertently let in anyone suspicious or undesired.</t>
        </is>
      </c>
    </row>
    <row r="531">
      <c r="A531" t="n">
        <v>647</v>
      </c>
      <c r="B531" t="inlineStr">
        <is>
          <t>As a home owner I want My smart home to help me keep track of what my responsibilities are so that I wont forget what I need to do.</t>
        </is>
      </c>
    </row>
    <row r="532">
      <c r="A532" t="n">
        <v>648</v>
      </c>
      <c r="B532" t="inlineStr">
        <is>
          <t>As a mother I want my baby's crib to alert me when my infant wakes up, via my iphone or apple watch so that I don't have to use a baby monitor..</t>
        </is>
      </c>
    </row>
    <row r="533">
      <c r="A533" t="n">
        <v>649</v>
      </c>
      <c r="B533" t="inlineStr">
        <is>
          <t>As a home occupant I want automatic lights so that the lights would come on before I came in the house..</t>
        </is>
      </c>
    </row>
    <row r="534">
      <c r="A534" t="n">
        <v>650</v>
      </c>
      <c r="B534" t="inlineStr">
        <is>
          <t>As a home occupant I want Automatic music so that I can listen to different genre of songs that play at specific times throughout my daily routine.</t>
        </is>
      </c>
    </row>
    <row r="535">
      <c r="A535" t="n">
        <v>651</v>
      </c>
      <c r="B535" t="inlineStr">
        <is>
          <t>As a home occupant I want a washer that you can set a timer to start when you are ready so that I can have the load start right before I get home so that it doesn't have to sit all day.</t>
        </is>
      </c>
    </row>
    <row r="536">
      <c r="A536" t="n">
        <v>653</v>
      </c>
      <c r="B536" t="inlineStr">
        <is>
          <t>As a pet owner I want My smart home to keep track of my pets health so that they will remain healthy .</t>
        </is>
      </c>
    </row>
    <row r="537">
      <c r="A537" t="n">
        <v>654</v>
      </c>
      <c r="B537" t="inlineStr">
        <is>
          <t>As a parent I want to control what electronic devices my children have access to when I am away from home so that their use of electronic devices is in keeping with household rules for safety..</t>
        </is>
      </c>
    </row>
    <row r="538">
      <c r="A538" t="n">
        <v>655</v>
      </c>
      <c r="B538" t="inlineStr">
        <is>
          <t>As a home owner I want my television to turn on and off with the sound of my voice so that i don't need to use a remote control.</t>
        </is>
      </c>
    </row>
    <row r="539">
      <c r="A539" t="n">
        <v>656</v>
      </c>
      <c r="B539" t="inlineStr">
        <is>
          <t>As a home occupant I want something that would turn on music by the sound of my voice. so that I won't have to get up to turn it on..</t>
        </is>
      </c>
    </row>
    <row r="540">
      <c r="A540" t="n">
        <v>658</v>
      </c>
      <c r="B540" t="inlineStr">
        <is>
          <t>As a home occupant I want Alarm Clock so that I can choose from a variety of different sounds that would play in the mornings at a specific time; this alarm clock would also contain specific features that would force me to wake up.</t>
        </is>
      </c>
    </row>
    <row r="541">
      <c r="A541" t="n">
        <v>659</v>
      </c>
      <c r="B541" t="inlineStr">
        <is>
          <t>As a home owner I want my mailbox to lock when it senses the mailman has filled it with mail so that no one steals my mail.</t>
        </is>
      </c>
    </row>
    <row r="542">
      <c r="A542" t="n">
        <v>660</v>
      </c>
      <c r="B542" t="inlineStr">
        <is>
          <t>As a dog owner I want my iphone to alert me when my dog is distressed/barking via a smart collar so that I can check on my dog when I am not home.</t>
        </is>
      </c>
    </row>
    <row r="543">
      <c r="A543" t="n">
        <v>661</v>
      </c>
      <c r="B543" t="inlineStr">
        <is>
          <t>As a home occupant I want built in smoke detector and carbon monoxide detector with alarms so that I know if something is in the air it will alert me.</t>
        </is>
      </c>
    </row>
    <row r="544">
      <c r="A544" t="n">
        <v>663</v>
      </c>
      <c r="B544" t="inlineStr">
        <is>
          <t>As a home occupant I want Automated cookers/crock pots so that I can control various appliances and therefore the food I make while I'm not at home using a smartphone app.</t>
        </is>
      </c>
    </row>
    <row r="545">
      <c r="A545" t="n">
        <v>664</v>
      </c>
      <c r="B545" t="inlineStr">
        <is>
          <t>As a home occupant I want to be able to set the temperature of my shower water. so that I can have it hotter or colder..</t>
        </is>
      </c>
    </row>
    <row r="546">
      <c r="A546" t="n">
        <v>665</v>
      </c>
      <c r="B546" t="inlineStr">
        <is>
          <t>As a cook I want a notification via my phone/smart watch letting me know when my food is ready so that I can concentrate on other things and keep the food from burning or cooking to long..</t>
        </is>
      </c>
    </row>
    <row r="547">
      <c r="A547" t="n">
        <v>666</v>
      </c>
      <c r="B547" t="inlineStr">
        <is>
          <t>As a home occupant I want sensors that tell me if someone or something leaves my house so that I know if my kids are going outside if I am in another room.</t>
        </is>
      </c>
    </row>
    <row r="548">
      <c r="A548" t="n">
        <v>667</v>
      </c>
      <c r="B548" t="inlineStr">
        <is>
          <t>As a home owner I want monitor packages left on my front porch/doorstep so that I know if they have been taken by someone other than myself, and if so, by whom..</t>
        </is>
      </c>
    </row>
    <row r="549">
      <c r="A549" t="n">
        <v>668</v>
      </c>
      <c r="B549" t="inlineStr">
        <is>
          <t>As a home occupant I want Smart Beds so that I can have improve my sleep quality because of a smart bed that is able to track breathing, heart rate, movement, etc .</t>
        </is>
      </c>
    </row>
    <row r="550">
      <c r="A550" t="n">
        <v>669</v>
      </c>
      <c r="B550" t="inlineStr">
        <is>
          <t>As a car owner I want to be able to start my car from inside the house. so that it can warm up in winter time..</t>
        </is>
      </c>
    </row>
    <row r="551">
      <c r="A551" t="n">
        <v>670</v>
      </c>
      <c r="B551" t="inlineStr">
        <is>
          <t>As a home owner I want I want my smart home to sync with my phone such that if I am in danger the police can be notified so that I don't need to use my phone to call the police.</t>
        </is>
      </c>
    </row>
    <row r="552">
      <c r="A552" t="n">
        <v>671</v>
      </c>
      <c r="B552" t="inlineStr">
        <is>
          <t>As a home owner I want my air conditioning unit to purify the air in my home and report the air quality so that I can ensure my family is breathing healthy air.</t>
        </is>
      </c>
    </row>
    <row r="553">
      <c r="A553" t="n">
        <v>672</v>
      </c>
      <c r="B553" t="inlineStr">
        <is>
          <t>As a home occupant I want an oven that comes on at a certain time so that I can place my food in the oven and it'll be ready when I get home.</t>
        </is>
      </c>
    </row>
    <row r="554">
      <c r="A554" t="n">
        <v>673</v>
      </c>
      <c r="B554" t="inlineStr">
        <is>
          <t>As a home owner I want my house to alert me by text if motion inside is detected while I'm gone so that I can alert authorities to intruders.</t>
        </is>
      </c>
    </row>
    <row r="555">
      <c r="A555" t="n">
        <v>674</v>
      </c>
      <c r="B555" t="inlineStr">
        <is>
          <t>As a parent I want to receive a text if the fridge is opened so that I can monitor what my kids are eating..</t>
        </is>
      </c>
    </row>
    <row r="556">
      <c r="A556" t="n">
        <v>675</v>
      </c>
      <c r="B556" t="inlineStr">
        <is>
          <t>As a home owner I want my phone to alert me if carbon monoxide levels are outside of the normal range so that I can ensure that everyone in the house evacuates and is safe..</t>
        </is>
      </c>
    </row>
    <row r="557">
      <c r="A557" t="n">
        <v>676</v>
      </c>
      <c r="B557" t="inlineStr">
        <is>
          <t>As a parent I want an alert that lets me know when my wi-fi or home internet is accessed so that I can monitor who is accessing these, when and for what purpose.</t>
        </is>
      </c>
    </row>
    <row r="558">
      <c r="A558" t="n">
        <v>677</v>
      </c>
      <c r="B558" t="inlineStr">
        <is>
          <t>As a home occupant I want my television to turn on my favorite shows when I walk in the room so that I can proceed with my morning routine.</t>
        </is>
      </c>
    </row>
    <row r="559">
      <c r="A559" t="n">
        <v>678</v>
      </c>
      <c r="B559" t="inlineStr">
        <is>
          <t>As a home owner I want to be alerted if I've gone over an energy usage threshold for heating or A/C so that I can make adjustments to save money and energy.</t>
        </is>
      </c>
    </row>
    <row r="560">
      <c r="A560" t="n">
        <v>679</v>
      </c>
      <c r="B560" t="inlineStr">
        <is>
          <t>As a home occupant I want a freezer that has an alarm that goes off if the power isn't working so that I will know in time to save my stuff.</t>
        </is>
      </c>
    </row>
    <row r="561">
      <c r="A561" t="n">
        <v>680</v>
      </c>
      <c r="B561" t="inlineStr">
        <is>
          <t>As a home owner I want my music player to work in conjunction with the lights so that to set the mood for when I am entertaining.</t>
        </is>
      </c>
    </row>
    <row r="562">
      <c r="A562" t="n">
        <v>682</v>
      </c>
      <c r="B562" t="inlineStr">
        <is>
          <t>As a parent I want an alert when my child is getting close to the oven or places they shouldn't be. so that I can keep them safe..</t>
        </is>
      </c>
    </row>
    <row r="563">
      <c r="A563" t="n">
        <v>683</v>
      </c>
      <c r="B563" t="inlineStr">
        <is>
          <t>As a home owner I want to receive a preliminary text about the smoke detector before it actually goes off so that I can ensure that it isn't just because I'm cooking something in the kitchen.</t>
        </is>
      </c>
    </row>
    <row r="564">
      <c r="A564" t="n">
        <v>684</v>
      </c>
      <c r="B564" t="inlineStr">
        <is>
          <t>As a wife I want my laundry machine to alert me via phone notification when the cycle is complete so that I can use my time to concentrate on other chores and maximize the laundry I can do..</t>
        </is>
      </c>
    </row>
    <row r="565">
      <c r="A565" t="n">
        <v>685</v>
      </c>
      <c r="B565" t="inlineStr">
        <is>
          <t>As a home occupant I want a closet that straightens up the coats as we throw them in there so that It is more tidy.</t>
        </is>
      </c>
    </row>
    <row r="566">
      <c r="A566" t="n">
        <v>686</v>
      </c>
      <c r="B566" t="inlineStr">
        <is>
          <t>As a home owner I want to receive an alert if I've left the oven or stove on after I've finished cooking so that I can make sure that nobody gets burned and so I can save money on energy..</t>
        </is>
      </c>
    </row>
    <row r="567">
      <c r="A567" t="n">
        <v>687</v>
      </c>
      <c r="B567" t="inlineStr">
        <is>
          <t>As a nanny I want to access emergency contacts at the touch of a button, even away from the home so that I can save time in case of an emergency.</t>
        </is>
      </c>
    </row>
    <row r="568">
      <c r="A568" t="n">
        <v>688</v>
      </c>
      <c r="B568" t="inlineStr">
        <is>
          <t>As a wife I want my dryer to alert me via phone notification when my dryer has completed so that I can use my time to concentrate on other chores and maximize the laundry I can do..</t>
        </is>
      </c>
    </row>
    <row r="569">
      <c r="A569" t="n">
        <v>689</v>
      </c>
      <c r="B569" t="inlineStr">
        <is>
          <t>As a parent I want an alert when my teenager comes home at night. so that I know they are safe..</t>
        </is>
      </c>
    </row>
    <row r="570">
      <c r="A570" t="n">
        <v>690</v>
      </c>
      <c r="B570" t="inlineStr">
        <is>
          <t>As a home occupant I want an alert that lets me know when the refrigerator is left open so that I can save energy.</t>
        </is>
      </c>
    </row>
    <row r="571">
      <c r="A571" t="n">
        <v>691</v>
      </c>
      <c r="B571" t="inlineStr">
        <is>
          <t>As a home owner I want to control the temperature of my water heater so that I can save energy costs..</t>
        </is>
      </c>
    </row>
    <row r="572">
      <c r="A572" t="n">
        <v>692</v>
      </c>
      <c r="B572" t="inlineStr">
        <is>
          <t>As a home owner I want to receive an alert if it's going to rain and I have a door or window open in my home so that I can close the door or window and keep things from getting wet..</t>
        </is>
      </c>
    </row>
    <row r="573">
      <c r="A573" t="n">
        <v>694</v>
      </c>
      <c r="B573" t="inlineStr">
        <is>
          <t>As a home owner I want to be alerted if the water from the faucet contains too many minerals or impurities so that I can get it fixed or begin to filter my water from the tap.</t>
        </is>
      </c>
    </row>
    <row r="574">
      <c r="A574" t="n">
        <v>695</v>
      </c>
      <c r="B574" t="inlineStr">
        <is>
          <t>As a home owner I want to be able to turn on the lights in my house when I am not home so that I can make it appear that someone is home..</t>
        </is>
      </c>
    </row>
    <row r="575">
      <c r="A575" t="n">
        <v>696</v>
      </c>
      <c r="B575" t="inlineStr">
        <is>
          <t>As a parent I want my smart home to open for my latchkey kid after school via voice command so that my son doesn't have to carry a key.</t>
        </is>
      </c>
    </row>
    <row r="576">
      <c r="A576" t="n">
        <v>697</v>
      </c>
      <c r="B576" t="inlineStr">
        <is>
          <t>As a home occupant I want the heat to automatically adjust when people enter or exit a room so that I can save energy.</t>
        </is>
      </c>
    </row>
    <row r="577">
      <c r="A577" t="n">
        <v>698</v>
      </c>
      <c r="B577" t="inlineStr">
        <is>
          <t>As a home occupant I want bath water temperature to be automatically set to warm  so that I do not have a cold shower or burn myself.</t>
        </is>
      </c>
    </row>
    <row r="578">
      <c r="A578" t="n">
        <v>699</v>
      </c>
      <c r="B578" t="inlineStr">
        <is>
          <t>As a home owner I want cameras throughout the home so that I can observe who is present before I enter.</t>
        </is>
      </c>
    </row>
    <row r="579">
      <c r="A579" t="n">
        <v>700</v>
      </c>
      <c r="B579" t="inlineStr">
        <is>
          <t>As a home owner I want to be alerted if the fridge and freezer temperatures go outside of a certain range so that I can ensure my food isn't going bad due to high temperatures or being frozen due to low ones..</t>
        </is>
      </c>
    </row>
    <row r="580">
      <c r="A580" t="n">
        <v>701</v>
      </c>
      <c r="B580" t="inlineStr">
        <is>
          <t>As a home owner I want a showerhead that alerts me when I use more than an amount predetermined by me so that I can save on my utilities and conserve water.</t>
        </is>
      </c>
    </row>
    <row r="581">
      <c r="A581" t="n">
        <v>702</v>
      </c>
      <c r="B581" t="inlineStr">
        <is>
          <t>As a home owner I want to receive an alert if motion is detected on my driveway or front doorstep so that I can know that I have visitors and not miss deliveries or packages.</t>
        </is>
      </c>
    </row>
    <row r="582">
      <c r="A582" t="n">
        <v>703</v>
      </c>
      <c r="B582" t="inlineStr">
        <is>
          <t>As a home owner I want to be able to receive a notification via my smart watch/phone when someone or a vehicle enters the driveway so that i can know when someone is outside.</t>
        </is>
      </c>
    </row>
    <row r="583">
      <c r="A583" t="n">
        <v>704</v>
      </c>
      <c r="B583" t="inlineStr">
        <is>
          <t>As a parent I want my smart home to limit my son's internet and video game usage so that he doesn't overdo it with the electronics and can spend his time more wisely / go to be at a reasonable hour.</t>
        </is>
      </c>
    </row>
    <row r="584">
      <c r="A584" t="n">
        <v>705</v>
      </c>
      <c r="B584" t="inlineStr">
        <is>
          <t>As a home owner I want an alert automatic locks on the doors so that they could all be locked at once..</t>
        </is>
      </c>
    </row>
    <row r="585">
      <c r="A585" t="n">
        <v>706</v>
      </c>
      <c r="B585" t="inlineStr">
        <is>
          <t>As a home occupant I want an alert that lets me know when I've left the oven on when not in use so that I can prevent a fire and save energy.</t>
        </is>
      </c>
    </row>
    <row r="586">
      <c r="A586" t="n">
        <v>707</v>
      </c>
      <c r="B586" t="inlineStr">
        <is>
          <t>As a pet owner I want an alert that lets me know when electric wires are chewed/exposed so that I can prevent a fire and/or other danger.</t>
        </is>
      </c>
    </row>
    <row r="587">
      <c r="A587" t="n">
        <v>708</v>
      </c>
      <c r="B587" t="inlineStr">
        <is>
          <t>As a home occupant I want TV to turn on when i enter the room and to use voice commands to control it so that I can easily relax.</t>
        </is>
      </c>
    </row>
    <row r="588">
      <c r="A588" t="n">
        <v>709</v>
      </c>
      <c r="B588" t="inlineStr">
        <is>
          <t>As a home occupant I want self retracting sky lights so that sunlight can help to heat the home or prevent it from entering to keep it cool.</t>
        </is>
      </c>
    </row>
    <row r="589">
      <c r="A589" t="n">
        <v>710</v>
      </c>
      <c r="B589" t="inlineStr">
        <is>
          <t>As a home owner I want doors that lock automatically in the evening so that I don't ever forget to lock them before bed.</t>
        </is>
      </c>
    </row>
    <row r="590">
      <c r="A590" t="n">
        <v>711</v>
      </c>
      <c r="B590" t="inlineStr">
        <is>
          <t>As a home owner I want my smart home's windows to darken in response to the amount of outdoor light so that I save money on my heating/electric bill.</t>
        </is>
      </c>
    </row>
    <row r="591">
      <c r="A591" t="n">
        <v>712</v>
      </c>
      <c r="B591" t="inlineStr">
        <is>
          <t>As a home occupant I want automatic lighting so that I don't have to always remember to shut lights off when I leave a room.</t>
        </is>
      </c>
    </row>
    <row r="592">
      <c r="A592" t="n">
        <v>713</v>
      </c>
      <c r="B592" t="inlineStr">
        <is>
          <t>As a home owner I want a central heat and air system that knows the weather outside and adjusts itself accordingly so that I can save money and enjoy more comfortable inside temperatures..</t>
        </is>
      </c>
    </row>
    <row r="593">
      <c r="A593" t="n">
        <v>714</v>
      </c>
      <c r="B593" t="inlineStr">
        <is>
          <t>As a home owner I want voice activated virtual assistant so that I can get up to date on news,weather, and sports without checking television or social media..</t>
        </is>
      </c>
    </row>
    <row r="594">
      <c r="A594" t="n">
        <v>715</v>
      </c>
      <c r="B594" t="inlineStr">
        <is>
          <t>As a home occupant I want water usuage detection so that I can see if any major changes occur..</t>
        </is>
      </c>
    </row>
    <row r="595">
      <c r="A595" t="n">
        <v>716</v>
      </c>
      <c r="B595" t="inlineStr">
        <is>
          <t>As a home occupant I want automatic window defrosters so that I can see outside when there is bad weather..</t>
        </is>
      </c>
    </row>
    <row r="596">
      <c r="A596" t="n">
        <v>717</v>
      </c>
      <c r="B596" t="inlineStr">
        <is>
          <t>As a home owner I want my smart home to ring a bell at meal times so that I don't have to call each and every person separetely.</t>
        </is>
      </c>
    </row>
    <row r="597">
      <c r="A597" t="n">
        <v>718</v>
      </c>
      <c r="B597" t="inlineStr">
        <is>
          <t>As a home owner I want an app that lets me manage my AC/Heater so that I can turn it off and on even if I am outside..</t>
        </is>
      </c>
    </row>
    <row r="598">
      <c r="A598" t="n">
        <v>719</v>
      </c>
      <c r="B598" t="inlineStr">
        <is>
          <t>As a home owner I want music that automatically plays when in the shower so that I always have good tunes to listen to while getting clean.</t>
        </is>
      </c>
    </row>
    <row r="599">
      <c r="A599" t="n">
        <v>720</v>
      </c>
      <c r="B599" t="inlineStr">
        <is>
          <t>As a home occupant I want retracting blinds so that my energy usage is reduced.</t>
        </is>
      </c>
    </row>
    <row r="600">
      <c r="A600" t="n">
        <v>721</v>
      </c>
      <c r="B600" t="inlineStr">
        <is>
          <t>As a home owner I want an app that lets me manage my stove/gas so that I can turn it off and on even if I am outside..</t>
        </is>
      </c>
    </row>
    <row r="601">
      <c r="A601" t="n">
        <v>722</v>
      </c>
      <c r="B601" t="inlineStr">
        <is>
          <t>As a home occupant I want my gate to know who's entering so that I can be aware that I know them..</t>
        </is>
      </c>
    </row>
    <row r="602">
      <c r="A602" t="n">
        <v>724</v>
      </c>
      <c r="B602" t="inlineStr">
        <is>
          <t>As a parent I want a TV that locks itself after it's kids bed time so that they can't turn it on even if they try..</t>
        </is>
      </c>
    </row>
    <row r="603">
      <c r="A603" t="n">
        <v>725</v>
      </c>
      <c r="B603" t="inlineStr">
        <is>
          <t>As a home owner I want automatic lights so that I never have to mess with light switches again. (and save energy in the process).</t>
        </is>
      </c>
    </row>
    <row r="604">
      <c r="A604" t="n">
        <v>726</v>
      </c>
      <c r="B604" t="inlineStr">
        <is>
          <t>As a health conscious person I want an app that rings when my vitamins are due so that I don't miss them..</t>
        </is>
      </c>
    </row>
    <row r="605">
      <c r="A605" t="n">
        <v>727</v>
      </c>
      <c r="B605" t="inlineStr">
        <is>
          <t>As a home occupant I want automatic floor warming so that feet don't get cold .</t>
        </is>
      </c>
    </row>
    <row r="606">
      <c r="A606" t="n">
        <v>728</v>
      </c>
      <c r="B606" t="inlineStr">
        <is>
          <t>As a music lover I want an app that can sense my mood so that I don't have to change songs, rather it plays songs according to my mood automatically.</t>
        </is>
      </c>
    </row>
    <row r="607">
      <c r="A607" t="n">
        <v>729</v>
      </c>
      <c r="B607" t="inlineStr">
        <is>
          <t>As a home owner I want tiles that absorb the water in washrooms after shower so that it is safe to walk in the washroom after taking shower and I don't have to dry it manually..</t>
        </is>
      </c>
    </row>
    <row r="608">
      <c r="A608" t="n">
        <v>730</v>
      </c>
      <c r="B608" t="inlineStr">
        <is>
          <t>As a home owner I want tiles that can sense water so that so that I can clean the water right away and no one slips..</t>
        </is>
      </c>
    </row>
    <row r="609">
      <c r="A609" t="n">
        <v>731</v>
      </c>
      <c r="B609" t="inlineStr">
        <is>
          <t>As a home occupant I want fingerprint scanner for front door so that I don't need keys, and to keep burglars away..</t>
        </is>
      </c>
    </row>
    <row r="610">
      <c r="A610" t="n">
        <v>732</v>
      </c>
      <c r="B610" t="inlineStr">
        <is>
          <t>As a home owner I want a refrigerator that tracks how long milk has been inside so that I never have to drink sour milk again.</t>
        </is>
      </c>
    </row>
    <row r="611">
      <c r="A611" t="n">
        <v>733</v>
      </c>
      <c r="B611" t="inlineStr">
        <is>
          <t>As a home owner I want lights that starts fading out and then finally turn off if I fall asleep so that energy is saved and they are not on till morning..</t>
        </is>
      </c>
    </row>
    <row r="612">
      <c r="A612" t="n">
        <v>734</v>
      </c>
      <c r="B612" t="inlineStr">
        <is>
          <t>As a home owner I want a toilet that senses how much to flush and automatically does that so that I touch the toilet less and save energy by appropriate flushing.</t>
        </is>
      </c>
    </row>
    <row r="613">
      <c r="A613" t="n">
        <v>735</v>
      </c>
      <c r="B613" t="inlineStr">
        <is>
          <t>As a home occupant I want automatic blind shut so that I won't have to get up to shut blinds and people can't see inside.</t>
        </is>
      </c>
    </row>
    <row r="614">
      <c r="A614" t="n">
        <v>736</v>
      </c>
      <c r="B614" t="inlineStr">
        <is>
          <t>As a home owner I want speakers throughout the house that sense which room I'm in and play in the appropriate room so that I can have music wherever I go.</t>
        </is>
      </c>
    </row>
    <row r="615">
      <c r="A615" t="n">
        <v>737</v>
      </c>
      <c r="B615" t="inlineStr">
        <is>
          <t>As a parent I want carpets that can sense when my kid is about to fall so that so that he/she doesn't fall on ground rather a carpet appears and he doesn't get hurt..</t>
        </is>
      </c>
    </row>
    <row r="616">
      <c r="A616" t="n">
        <v>738</v>
      </c>
      <c r="B616" t="inlineStr">
        <is>
          <t>As a home occupant I want temperature control in each room so that unused rooms aren't wasting energy.</t>
        </is>
      </c>
    </row>
    <row r="617">
      <c r="A617" t="n">
        <v>739</v>
      </c>
      <c r="B617" t="inlineStr">
        <is>
          <t>As a home occupant I want solar panels to power the whole house so that I can save more money on electrical bills.</t>
        </is>
      </c>
    </row>
    <row r="618">
      <c r="A618" t="n">
        <v>740</v>
      </c>
      <c r="B618" t="inlineStr">
        <is>
          <t>As a home owner I want a door lock that can have temporary access codes added that I can share with others so that I don't have to lend someone a spare key and the code will expire after a certain amount of time so I can revoke access.</t>
        </is>
      </c>
    </row>
    <row r="619">
      <c r="A619" t="n">
        <v>741</v>
      </c>
      <c r="B619" t="inlineStr">
        <is>
          <t>As a parent I want automatic sanitized door knobs and faucets so that is one less way to get sick.</t>
        </is>
      </c>
    </row>
    <row r="620">
      <c r="A620" t="n">
        <v>742</v>
      </c>
      <c r="B620" t="inlineStr">
        <is>
          <t>As a home owner I want a refrigerator that lets you speak a grocery list and automatically transcribes the items and emails them so that you never forget the little things at the store again.</t>
        </is>
      </c>
    </row>
    <row r="621">
      <c r="A621" t="n">
        <v>743</v>
      </c>
      <c r="B621" t="inlineStr">
        <is>
          <t>As a home occupant I want an alert system so that I can be reminded when my favorite shows are on..</t>
        </is>
      </c>
    </row>
    <row r="622">
      <c r="A622" t="n">
        <v>744</v>
      </c>
      <c r="B622" t="inlineStr">
        <is>
          <t>As a home occupant I want sensors so that they know where I am in the home and can move music as I move..</t>
        </is>
      </c>
    </row>
    <row r="623">
      <c r="A623" t="n">
        <v>745</v>
      </c>
      <c r="B623" t="inlineStr">
        <is>
          <t>As a home occupant I want the lights to turn on when i enter and off when i leave a room so that energy is not wasted.</t>
        </is>
      </c>
    </row>
    <row r="624">
      <c r="A624" t="n">
        <v>746</v>
      </c>
      <c r="B624" t="inlineStr">
        <is>
          <t>As a host I want my smart home to identify party guests at the door before I open it so that can welcome them in a personalized manner..</t>
        </is>
      </c>
    </row>
    <row r="625">
      <c r="A625" t="n">
        <v>747</v>
      </c>
      <c r="B625" t="inlineStr">
        <is>
          <t>As a pet owner I want my smart home to block off areas of my house from pet access at specific times of the day so that I can sleep peacefully without my cats pawing at me.</t>
        </is>
      </c>
    </row>
    <row r="626">
      <c r="A626" t="n">
        <v>748</v>
      </c>
      <c r="B626" t="inlineStr">
        <is>
          <t>As a cook I want my smart home to keep track of the quantity of specific ingredients I have so that I may be alerted to potential shortages before making a dish.</t>
        </is>
      </c>
    </row>
    <row r="627">
      <c r="A627" t="n">
        <v>749</v>
      </c>
      <c r="B627" t="inlineStr">
        <is>
          <t>As a busy cook I want my smart home to be able to order food items I commonly use when I am running short so that I don't have to worry about running out of butter or flour or other pantry items.</t>
        </is>
      </c>
    </row>
    <row r="628">
      <c r="A628" t="n">
        <v>750</v>
      </c>
      <c r="B628" t="inlineStr">
        <is>
          <t>As a pet owner I want my smart home to regularly track the weight of my animals with a scale hidden at the cat flap so that I may be alerted to significant changes in my animal's weight, which could suggest health issues..</t>
        </is>
      </c>
    </row>
    <row r="629">
      <c r="A629" t="n">
        <v>751</v>
      </c>
      <c r="B629" t="inlineStr">
        <is>
          <t>As a pet owner I want my smart home to verify the identify of my pets before letting them in so that I don't have to worry about stray animals entering through the cat flap/door.</t>
        </is>
      </c>
    </row>
    <row r="630">
      <c r="A630" t="n">
        <v>752</v>
      </c>
      <c r="B630" t="inlineStr">
        <is>
          <t>As a person who wants to diet I want my smart home to track what items I am removing from the pantry and fridge so that I can be more informed of my current food intake.</t>
        </is>
      </c>
    </row>
    <row r="631">
      <c r="A631" t="n">
        <v>753</v>
      </c>
      <c r="B631" t="inlineStr">
        <is>
          <t>As a busy person I want a keyless entry system so that I don't have to spend time fiddling with the keys to my home.</t>
        </is>
      </c>
    </row>
    <row r="632">
      <c r="A632" t="n">
        <v>754</v>
      </c>
      <c r="B632" t="inlineStr">
        <is>
          <t>As a home owner I want the ability to track humidity levels in each room of my house so that I can take preventative measures against mold growth in areas where mold risk is high.</t>
        </is>
      </c>
    </row>
    <row r="633">
      <c r="A633" t="n">
        <v>755</v>
      </c>
      <c r="B633" t="inlineStr">
        <is>
          <t>As a host I want my smart home to keep track of my guests favorite foods so that I can be a better host by offering these foods again or similar ones.</t>
        </is>
      </c>
    </row>
    <row r="634">
      <c r="A634" t="n">
        <v>756</v>
      </c>
      <c r="B634" t="inlineStr">
        <is>
          <t>As a renter I want my smart home to monitor my utility usage and costs. so that That I can stay on budget for the month..</t>
        </is>
      </c>
    </row>
    <row r="635">
      <c r="A635" t="n">
        <v>757</v>
      </c>
      <c r="B635" t="inlineStr">
        <is>
          <t>As a person who cooks. I want my smart home to notify me immediately if I leave the house without turning off the oven or leave food in too long. so that I can stay safe and not waste money on burnt food..</t>
        </is>
      </c>
    </row>
    <row r="636">
      <c r="A636" t="n">
        <v>758</v>
      </c>
      <c r="B636" t="inlineStr">
        <is>
          <t>As a person who invites people over. I want my smart home to have voice recognition features that allow me to voice active TVs and music. so that I can entertain my guests more easily..</t>
        </is>
      </c>
    </row>
    <row r="637">
      <c r="A637" t="n">
        <v>759</v>
      </c>
      <c r="B637" t="inlineStr">
        <is>
          <t>As a pet owner I want a smart home that notifies me if my pet sneaks out of the house. so that so that I can make sure they don't wander away and get lost..</t>
        </is>
      </c>
    </row>
    <row r="638">
      <c r="A638" t="n">
        <v>760</v>
      </c>
      <c r="B638" t="inlineStr">
        <is>
          <t>As a pet owner I want my smart home to notify me when food and water levels in my pets dishes are low. so that I can track how much my pets are eating and always make sure I don't leave them without food..</t>
        </is>
      </c>
    </row>
    <row r="639">
      <c r="A639" t="n">
        <v>761</v>
      </c>
      <c r="B639" t="inlineStr">
        <is>
          <t>As a home owner I want I want lights to come on automatically when I am in my backyard or on my deck. so that I can more easily enjoy these features of my home..</t>
        </is>
      </c>
    </row>
    <row r="640">
      <c r="A640" t="n">
        <v>762</v>
      </c>
      <c r="B640" t="inlineStr">
        <is>
          <t>As a person concerned about the environment. I want my smart home to track my energy usage by the specific environmental impact my different utilities have. so that I can more efficiently conserve my energy usage in the most beneficial way..</t>
        </is>
      </c>
    </row>
    <row r="641">
      <c r="A641" t="n">
        <v>763</v>
      </c>
      <c r="B641" t="inlineStr">
        <is>
          <t>As a person with allergies. I want my smart home to track different allergens in the air including part hair and dust particles. so that I can know better when I need to be mare careful about my allergies and those of my guests..</t>
        </is>
      </c>
    </row>
    <row r="642">
      <c r="A642" t="n">
        <v>764</v>
      </c>
      <c r="B642" t="inlineStr">
        <is>
          <t>As a new parent. I want my smart home to track when different baby gates have been opened. so that no one accidentally leaves access to the stairs open for my child. .</t>
        </is>
      </c>
    </row>
    <row r="643">
      <c r="A643" t="n">
        <v>765</v>
      </c>
      <c r="B643" t="inlineStr">
        <is>
          <t>As a person with roommates. I want my smart home to track how much in utilities each occupant uses. so that we can know how to divide costs of utilities more fairly. .</t>
        </is>
      </c>
    </row>
    <row r="644">
      <c r="A644" t="n">
        <v>766</v>
      </c>
      <c r="B644" t="inlineStr">
        <is>
          <t>As a runner obsessed with nutrition I want my kitchen table to tell what to cook for dinner based on my running schedule and what I have on the fridge, and then show me how to cook it so that I can save time from going through my fridge and trawling the internet for recipes, thus saving me time..</t>
        </is>
      </c>
    </row>
    <row r="645">
      <c r="A645" t="n">
        <v>767</v>
      </c>
      <c r="B645" t="inlineStr">
        <is>
          <t>As a home occupant I want my plants to tell me if they need watering so that I will water them.</t>
        </is>
      </c>
    </row>
    <row r="646">
      <c r="A646" t="n">
        <v>768</v>
      </c>
      <c r="B646" t="inlineStr">
        <is>
          <t>As a home occupant I want my thermostat to detect my body temperature and location in the room so that it will heat or cool the room where I am and not the entire house.</t>
        </is>
      </c>
    </row>
    <row r="647">
      <c r="A647" t="n">
        <v>769</v>
      </c>
      <c r="B647" t="inlineStr">
        <is>
          <t>As a home occupant I want my bed to detect my sleep patterns so that so that it knows when to wake me up based on the quality of my sleep.</t>
        </is>
      </c>
    </row>
    <row r="648">
      <c r="A648" t="n">
        <v>770</v>
      </c>
      <c r="B648" t="inlineStr">
        <is>
          <t>As a parent I want my family portraits in the living room to be interactive so that so that they tell me whether my kids have safely arrived at school or somewhere they should be.</t>
        </is>
      </c>
    </row>
    <row r="649">
      <c r="A649" t="n">
        <v>771</v>
      </c>
      <c r="B649" t="inlineStr">
        <is>
          <t>As a stock investor I want an orb lamp that glows the daily ups and downs of my portfolio so that so that I can know in simplest visual terms the swings in my stocks, should I want to.</t>
        </is>
      </c>
    </row>
    <row r="650">
      <c r="A650" t="n">
        <v>772</v>
      </c>
      <c r="B650" t="inlineStr">
        <is>
          <t>As a grandmother who takes care of a 12-year old grandson I want my smart home to notify me via my smart phone and shows me his picture when he opens the front door so that I know that he gets home safely from school..</t>
        </is>
      </c>
    </row>
    <row r="651">
      <c r="A651" t="n">
        <v>773</v>
      </c>
      <c r="B651" t="inlineStr">
        <is>
          <t>As a tv viewer I want my tv to determine my mood based on my emails, text, social media postings and phone calls, and day of the month and other factors so that so that it can recommend a mood-appropriate show for me.</t>
        </is>
      </c>
    </row>
    <row r="652">
      <c r="A652" t="n">
        <v>774</v>
      </c>
      <c r="B652" t="inlineStr">
        <is>
          <t>As a home occupant I want my pet feeder to let me know when the container is empty so that I can refill..</t>
        </is>
      </c>
    </row>
    <row r="653">
      <c r="A653" t="n">
        <v>775</v>
      </c>
      <c r="B653" t="inlineStr">
        <is>
          <t>As a home occupant I want my entire house to detect subtle hints of psychological abnormalities, whether depression or unknown genetic defects, that get express through small but still perceptible physical irregular movements so that my primary care physician is alerted very early.</t>
        </is>
      </c>
    </row>
    <row r="654">
      <c r="A654" t="n">
        <v>776</v>
      </c>
      <c r="B654" t="inlineStr">
        <is>
          <t>As a home occupant I want a smart home to send me a text via my smart phone when it is time to change ac and heater's filters so that I can change them on a timely manner..</t>
        </is>
      </c>
    </row>
    <row r="655">
      <c r="A655" t="n">
        <v>777</v>
      </c>
      <c r="B655" t="inlineStr">
        <is>
          <t>As a home occupant I want my house to archive where everything is located so that so that it knows everything and tells me immediately when I want to know where I'd put my keys or a vacation polaroid I took in 1987 but last seen in 2005.</t>
        </is>
      </c>
    </row>
    <row r="656">
      <c r="A656" t="n">
        <v>778</v>
      </c>
      <c r="B656" t="inlineStr">
        <is>
          <t>As a home occupant I want my bread machine to start automatically and be ready in the morning so that I can have bread for breakfast.</t>
        </is>
      </c>
    </row>
    <row r="657">
      <c r="A657" t="n">
        <v>779</v>
      </c>
      <c r="B657" t="inlineStr">
        <is>
          <t>As a home owner I want my thermostat to set itself to my ideal temperature when it detects my present so that I can relax knowing the thermostat is not too high or low, and just right for my comfort..</t>
        </is>
      </c>
    </row>
    <row r="658">
      <c r="A658" t="n">
        <v>780</v>
      </c>
      <c r="B658" t="inlineStr">
        <is>
          <t>As a homemaker I want my robotic vacuum cleaner to start automatically twice a week so that my house is not dusty.</t>
        </is>
      </c>
    </row>
    <row r="659">
      <c r="A659" t="n">
        <v>781</v>
      </c>
      <c r="B659" t="inlineStr">
        <is>
          <t>As a home occupant I want my windows to detect sound waves so that so that it will cancel them out with sound waves created by deforming itself.</t>
        </is>
      </c>
    </row>
    <row r="660">
      <c r="A660" t="n">
        <v>782</v>
      </c>
      <c r="B660" t="inlineStr">
        <is>
          <t>As a occupant I want all devices in my office, that I need for work, to turn on at a specific time so that I don't need to go through the process of turning everything on and off when I need to work..</t>
        </is>
      </c>
    </row>
    <row r="661">
      <c r="A661" t="n">
        <v>783</v>
      </c>
      <c r="B661" t="inlineStr">
        <is>
          <t>As a homemaker I want my swimming pool to clean itself on a periodic basis so that it is always clean.</t>
        </is>
      </c>
    </row>
    <row r="662">
      <c r="A662" t="n">
        <v>784</v>
      </c>
      <c r="B662" t="inlineStr">
        <is>
          <t>As a home owner I want my lights and tvs to turn on automatically when I am not home, and it detects an intruder so that the intruder will think that there is someone home, and it's not safe to break into my home..</t>
        </is>
      </c>
    </row>
    <row r="663">
      <c r="A663" t="n">
        <v>785</v>
      </c>
      <c r="B663" t="inlineStr">
        <is>
          <t>As a husband I want my bathtub to automatically fill, and set itself to hot temperature and add a bubble bath solution at the push of a button. so that when i am being romantic with my wife, we can head to the tub, without the need for interruption..</t>
        </is>
      </c>
    </row>
    <row r="664">
      <c r="A664" t="n">
        <v>786</v>
      </c>
      <c r="B664" t="inlineStr">
        <is>
          <t>As a home occupant I want a voice activated warning when the energy cost is more than certain amount so that I can tell everyone to be careful with their use of energy.</t>
        </is>
      </c>
    </row>
    <row r="665">
      <c r="A665" t="n">
        <v>787</v>
      </c>
      <c r="B665" t="inlineStr">
        <is>
          <t>As a home owner I want A lawn mower device to automatically cut my grass when it detects it is above a certain height, similar to a roomba vacuum robot. so that I can relax and focus on the things that are important, like cooking and eating with my family..</t>
        </is>
      </c>
    </row>
    <row r="666">
      <c r="A666" t="n">
        <v>788</v>
      </c>
      <c r="B666" t="inlineStr">
        <is>
          <t>As a driver I want my smart home to tell me when my car needs gasoline so that I will not run out of gasoline.</t>
        </is>
      </c>
    </row>
    <row r="667">
      <c r="A667" t="n">
        <v>789</v>
      </c>
      <c r="B667" t="inlineStr">
        <is>
          <t>As a home owner I want an automated cleaning device to get my pool ready when it detects the temperature outside is becoming warm, and automatically test the Ph of the water and apply the necessary chemicals. so that When I come home from work, I can hop into the pool with my family without having to spend hours cleaning it before hand..</t>
        </is>
      </c>
    </row>
    <row r="668">
      <c r="A668" t="n">
        <v>790</v>
      </c>
      <c r="B668" t="inlineStr">
        <is>
          <t>As a home occupant I want my smart home to inform me when my favorite ice cream is almost gone so that I buy more ice cream.</t>
        </is>
      </c>
    </row>
    <row r="669">
      <c r="A669" t="n">
        <v>791</v>
      </c>
      <c r="B669" t="inlineStr">
        <is>
          <t>As a home owner I want a refrigerator and freezer that automatically lets me know when food is about to expire and provides me recipes based on what I have in the fridge and freezer. so that I don't have to struggle trying to think about something I can make for dinner that is on hand, and worry about not having a certain ingredient..</t>
        </is>
      </c>
    </row>
    <row r="670">
      <c r="A670" t="n">
        <v>792</v>
      </c>
      <c r="B670" t="inlineStr">
        <is>
          <t>As a cook I want a pantry and cabinets that keep track of my current stock of food, and let me know when I am running low and possibly even order some automatically through a service like amazon for me when I run out. so that I will always have the necessary pantry items for breakfast, lunch, and dinner, and have less to worry about when I head to the grocery store for fresh items..</t>
        </is>
      </c>
    </row>
    <row r="671">
      <c r="A671" t="n">
        <v>793</v>
      </c>
      <c r="B671" t="inlineStr">
        <is>
          <t>As a occupant I want a coffee machine that automatically knows how many people are in my house, and prepare the proper portion of coffee for those people so that there is enough coffee for everyone right when we wake up in the morning..</t>
        </is>
      </c>
    </row>
    <row r="672">
      <c r="A672" t="n">
        <v>794</v>
      </c>
      <c r="B672" t="inlineStr">
        <is>
          <t>As a home occupant I want my alarm system turns on and off automatically at preset times so that I do not forget to turn on the alarm at night.</t>
        </is>
      </c>
    </row>
    <row r="673">
      <c r="A673" t="n">
        <v>795</v>
      </c>
      <c r="B673" t="inlineStr">
        <is>
          <t>As a occupant I want An all in one device that is capable of washing, drying, and folding my clothes so that I can worry about spending more time with my family, and having to worry about more things to do when I get home from work..</t>
        </is>
      </c>
    </row>
    <row r="674">
      <c r="A674" t="n">
        <v>796</v>
      </c>
      <c r="B674" t="inlineStr">
        <is>
          <t>As a parent I want My home to be able to monitor time spent per room in my home so that I can better monitor my family and their activity habits so that I can form a more cohesive family..</t>
        </is>
      </c>
    </row>
    <row r="675">
      <c r="A675" t="n">
        <v>797</v>
      </c>
      <c r="B675" t="inlineStr">
        <is>
          <t>As a home owner I want To be alerted when certain groceries are used so that I can automate my shopping list.</t>
        </is>
      </c>
    </row>
    <row r="676">
      <c r="A676" t="n">
        <v>798</v>
      </c>
      <c r="B676" t="inlineStr">
        <is>
          <t>As a home owner I want My home to alert me to possible damage so that I can keep up to date on repairs.</t>
        </is>
      </c>
    </row>
    <row r="677">
      <c r="A677" t="n">
        <v>799</v>
      </c>
      <c r="B677" t="inlineStr">
        <is>
          <t>As a home owner I want To be able to access my home from away from home so that I can keep tabs on what is happening.</t>
        </is>
      </c>
    </row>
    <row r="678">
      <c r="A678" t="n">
        <v>800</v>
      </c>
      <c r="B678" t="inlineStr">
        <is>
          <t>As a home owner I want My home to alert me to changing environmental issues so that I can keep my family safe.</t>
        </is>
      </c>
    </row>
    <row r="679">
      <c r="A679" t="n">
        <v>801</v>
      </c>
      <c r="B679" t="inlineStr">
        <is>
          <t>As a parent I want My home to alert me to dangerous situations in my surrounding area so that I can keep my family safe..</t>
        </is>
      </c>
    </row>
    <row r="680">
      <c r="A680" t="n">
        <v>802</v>
      </c>
      <c r="B680" t="inlineStr">
        <is>
          <t>As a pet owner I want My home to start the self cleaning litter box for me so that I don't have to keep tabs on my cat.</t>
        </is>
      </c>
    </row>
    <row r="681">
      <c r="A681" t="n">
        <v>803</v>
      </c>
      <c r="B681" t="inlineStr">
        <is>
          <t>As a cook I want My kitchen to alert me when I leave an appliance on that shouldn't be so that I can keep my home safe..</t>
        </is>
      </c>
    </row>
    <row r="682">
      <c r="A682" t="n">
        <v>804</v>
      </c>
      <c r="B682" t="inlineStr">
        <is>
          <t>As a home owner I want My home to alert me to my favorite shows and DVR them for me when I am not home so that I don't miss an episode.</t>
        </is>
      </c>
    </row>
    <row r="683">
      <c r="A683" t="n">
        <v>805</v>
      </c>
      <c r="B683" t="inlineStr">
        <is>
          <t>As a home owner I want My home to monitor my energy usage so that I can better use my energy..</t>
        </is>
      </c>
    </row>
    <row r="684">
      <c r="A684" t="n">
        <v>806</v>
      </c>
      <c r="B684" t="inlineStr">
        <is>
          <t>As a dog owner I want the ability to monitor my dog's water bowl so that I know when it should be filled.</t>
        </is>
      </c>
    </row>
    <row r="685">
      <c r="A685" t="n">
        <v>807</v>
      </c>
      <c r="B685" t="inlineStr">
        <is>
          <t>As a flower enthusiast I want to have my plants watered regularly so that they live for their maximum lifetime.</t>
        </is>
      </c>
    </row>
    <row r="686">
      <c r="A686" t="n">
        <v>808</v>
      </c>
      <c r="B686" t="inlineStr">
        <is>
          <t>As a home owner I want lights to automatically turn off when I'm not present so that I conserve energy efficiently.</t>
        </is>
      </c>
    </row>
    <row r="687">
      <c r="A687" t="n">
        <v>809</v>
      </c>
      <c r="B687" t="inlineStr">
        <is>
          <t>As a sports enthusiast I want my television to turn on when my favorite sports team plays so that I can watch them immediately when they start.</t>
        </is>
      </c>
    </row>
    <row r="688">
      <c r="A688" t="n">
        <v>810</v>
      </c>
      <c r="B688" t="inlineStr">
        <is>
          <t>As a mother I want to be alerted when my child starts crying so that I can take care of my child more quickly.</t>
        </is>
      </c>
    </row>
    <row r="689">
      <c r="A689" t="n">
        <v>811</v>
      </c>
      <c r="B689" t="inlineStr">
        <is>
          <t>As a clean freak I want doors to shut automatically if I leave them open unattended so that I can feel better about the cleanliness of my house.</t>
        </is>
      </c>
    </row>
    <row r="690">
      <c r="A690" t="n">
        <v>812</v>
      </c>
      <c r="B690" t="inlineStr">
        <is>
          <t>As a early riser I want coffee to be made every morning at 7 AM so that I can leave on time.</t>
        </is>
      </c>
    </row>
    <row r="691">
      <c r="A691" t="n">
        <v>813</v>
      </c>
      <c r="B691" t="inlineStr">
        <is>
          <t>As a home owner I want my gutters to clean themselves when full so that our gutters can be clean more.</t>
        </is>
      </c>
    </row>
    <row r="692">
      <c r="A692" t="n">
        <v>814</v>
      </c>
      <c r="B692" t="inlineStr">
        <is>
          <t>As a home owner I want my external doors to automatically lock after 30 seconds so that I can feel safe in my home.</t>
        </is>
      </c>
    </row>
    <row r="693">
      <c r="A693" t="n">
        <v>815</v>
      </c>
      <c r="B693" t="inlineStr">
        <is>
          <t>As a cook I want my oven to clean itself periodically so that I can use it more frequently.</t>
        </is>
      </c>
    </row>
    <row r="694">
      <c r="A694" t="n">
        <v>817</v>
      </c>
      <c r="B694" t="inlineStr">
        <is>
          <t>As a artist I want to be able to play around on softwares between screens around my house so that I can work more efficiently.</t>
        </is>
      </c>
    </row>
    <row r="695">
      <c r="A695" t="n">
        <v>818</v>
      </c>
      <c r="B695" t="inlineStr">
        <is>
          <t>As a cook I want devices to help me prepare food quickly so that i can save prep time.</t>
        </is>
      </c>
    </row>
    <row r="696">
      <c r="A696" t="n">
        <v>819</v>
      </c>
      <c r="B696" t="inlineStr">
        <is>
          <t>As a cat owner I want a self cleaning litterbox so that i don't have to clean it every day.</t>
        </is>
      </c>
    </row>
    <row r="697">
      <c r="A697" t="n">
        <v>821</v>
      </c>
      <c r="B697" t="inlineStr">
        <is>
          <t>As a home owner I want music that moves with me into the next room so that i can enjoy music and still hear it well no matter what i am walking around doing.</t>
        </is>
      </c>
    </row>
    <row r="698">
      <c r="A698" t="n">
        <v>822</v>
      </c>
      <c r="B698" t="inlineStr">
        <is>
          <t>As a home occupant I want to be able to turn off my stoves  so that just in case I forgot to turn it off when I left home.</t>
        </is>
      </c>
    </row>
    <row r="699">
      <c r="A699" t="n">
        <v>824</v>
      </c>
      <c r="B699" t="inlineStr">
        <is>
          <t>As a home owner I want a way to switch what i'm watching on one screen to move to another room so that i can pick up where i left off on a movie/etc on another device.</t>
        </is>
      </c>
    </row>
    <row r="700">
      <c r="A700" t="n">
        <v>826</v>
      </c>
      <c r="B700" t="inlineStr">
        <is>
          <t>As a parent I want my kids activities to be monitor with the help of technology  so that I can find out his what is wrong with his habits .</t>
        </is>
      </c>
    </row>
    <row r="701">
      <c r="A701" t="n">
        <v>828</v>
      </c>
      <c r="B701" t="inlineStr">
        <is>
          <t>As a home occupant I want my pool pump to automatically turn on for a set amount of time that I set so that my pool stays clean and I don't waste energy by having the pump on for to long..</t>
        </is>
      </c>
    </row>
    <row r="702">
      <c r="A702" t="n">
        <v>829</v>
      </c>
      <c r="B702" t="inlineStr">
        <is>
          <t>As a home owner I want a digital way to view my wardrobe and select pieces to make an outfit and have them brought to me so that i can pick an outfit more efficently without trying things on endlessly.</t>
        </is>
      </c>
    </row>
    <row r="703">
      <c r="A703" t="n">
        <v>830</v>
      </c>
      <c r="B703" t="inlineStr">
        <is>
          <t>As a home owner I want I want My bore well to indicate the water ground  level so that it can pump the water automatically when it is required  so that water saving .</t>
        </is>
      </c>
    </row>
    <row r="704">
      <c r="A704" t="n">
        <v>832</v>
      </c>
      <c r="B704" t="inlineStr">
        <is>
          <t>As a home occupant I want to open my garage door  so that I can save on time and energy.</t>
        </is>
      </c>
    </row>
    <row r="705">
      <c r="A705" t="n">
        <v>833</v>
      </c>
      <c r="B705" t="inlineStr">
        <is>
          <t>As a home occupant I want my tv to turn on when my selected show are on so that I won't miss my favorite shows.</t>
        </is>
      </c>
    </row>
    <row r="706">
      <c r="A706" t="n">
        <v>834</v>
      </c>
      <c r="B706" t="inlineStr">
        <is>
          <t>As a home owner I want something that tracks what my body needs nutrition-wise throughout the day by monitoring me every morning, and can alert me when i might be getting sick so that i can better take care of myself.</t>
        </is>
      </c>
    </row>
    <row r="707">
      <c r="A707" t="n">
        <v>836</v>
      </c>
      <c r="B707" t="inlineStr">
        <is>
          <t>As a home occupant I want my walls to take the design, color, or pattern of my choosing at any time, selected from my smartphone. so that I can easily customize my home..</t>
        </is>
      </c>
    </row>
    <row r="708">
      <c r="A708" t="n">
        <v>837</v>
      </c>
      <c r="B708" t="inlineStr">
        <is>
          <t>As a home owner I want to check the purity and quality of my water i use for drinking  so that there wont be any health problems.</t>
        </is>
      </c>
    </row>
    <row r="709">
      <c r="A709" t="n">
        <v>838</v>
      </c>
      <c r="B709" t="inlineStr">
        <is>
          <t>As a home owner I want lights and electronics that sense when i've fallen asleep and adjust automatically so that i can save energy.</t>
        </is>
      </c>
    </row>
    <row r="710">
      <c r="A710" t="n">
        <v>839</v>
      </c>
      <c r="B710" t="inlineStr">
        <is>
          <t>As a home occupant I want my coffee machine to turn on at 6:45 am so that my coffee is ready when I get out of bed..</t>
        </is>
      </c>
    </row>
    <row r="711">
      <c r="A711" t="n">
        <v>840</v>
      </c>
      <c r="B711" t="inlineStr">
        <is>
          <t>As a home occupant I want an alert to my phone when a package is left on my doorstep so that I know to pick it up and will know if it goes missing..</t>
        </is>
      </c>
    </row>
    <row r="712">
      <c r="A712" t="n">
        <v>841</v>
      </c>
      <c r="B712" t="inlineStr">
        <is>
          <t>As a home occupant I want to have wifi coffee machines so that I can easily brew coffee with an app.</t>
        </is>
      </c>
    </row>
    <row r="713">
      <c r="A713" t="n">
        <v>842</v>
      </c>
      <c r="B713" t="inlineStr">
        <is>
          <t>As a home owner I want doors that open via sensor if my hands are full so that i can carry large loads to other rooms more efficiently.</t>
        </is>
      </c>
    </row>
    <row r="714">
      <c r="A714" t="n">
        <v>844</v>
      </c>
      <c r="B714" t="inlineStr">
        <is>
          <t>As a home occupant I want my driveway lights to be turned on when sun goes down so that when I get home it is safe pulling into my driveway..</t>
        </is>
      </c>
    </row>
    <row r="715">
      <c r="A715" t="n">
        <v>845</v>
      </c>
      <c r="B715" t="inlineStr">
        <is>
          <t>As a home owner I want a device that can mix cocktails and allows me to choose what i want made so that i can entertain better.</t>
        </is>
      </c>
    </row>
    <row r="716">
      <c r="A716" t="n">
        <v>846</v>
      </c>
      <c r="B716" t="inlineStr">
        <is>
          <t>As a home owner I want my electricity should be monitored with the help of daily report to my mobile automatically  so that i can save energy .</t>
        </is>
      </c>
    </row>
    <row r="717">
      <c r="A717" t="n">
        <v>847</v>
      </c>
      <c r="B717" t="inlineStr">
        <is>
          <t>As a cook I want weekly meal plans to be automatically generated based on my nutritional needs and preferences (as well as those for my family,) and for a shopping list to be generated to obtain needed items so that I can always know the best meals to prepare for myself and my family..</t>
        </is>
      </c>
    </row>
    <row r="718">
      <c r="A718" t="n">
        <v>849</v>
      </c>
      <c r="B718" t="inlineStr">
        <is>
          <t>As a home occupant I want an alert when my dog is standing by back door so that I know that I need to let them out..</t>
        </is>
      </c>
    </row>
    <row r="719">
      <c r="A719" t="n">
        <v>850</v>
      </c>
      <c r="B719" t="inlineStr">
        <is>
          <t>As a home occupant I want to control temperature and spray of my shower so that so that I can save on energy costs..</t>
        </is>
      </c>
    </row>
    <row r="720">
      <c r="A720" t="n">
        <v>851</v>
      </c>
      <c r="B720" t="inlineStr">
        <is>
          <t>As a home occupant I want A big tv in the attic that can move into whatever room I'm in so that I could watch tv at any room .</t>
        </is>
      </c>
    </row>
    <row r="721">
      <c r="A721" t="n">
        <v>852</v>
      </c>
      <c r="B721" t="inlineStr">
        <is>
          <t>As a home occupant I want an inventory to be taken of my groceries and personal items, and a shopping list to be automatically sent to my smartphone. so that I always have the items I need, and know when I am running out..</t>
        </is>
      </c>
    </row>
    <row r="722">
      <c r="A722" t="n">
        <v>853</v>
      </c>
      <c r="B722" t="inlineStr">
        <is>
          <t>As a home owner I want my smart home to notify me whenver water is leaking from a faucet so that I don't waste water and get a big bill..</t>
        </is>
      </c>
    </row>
    <row r="723">
      <c r="A723" t="n">
        <v>854</v>
      </c>
      <c r="B723" t="inlineStr">
        <is>
          <t>As a pet owner I want to monitor my pets health problem automatically with detecting device   so that i can save my pets life.</t>
        </is>
      </c>
    </row>
    <row r="724">
      <c r="A724" t="n">
        <v>855</v>
      </c>
      <c r="B724" t="inlineStr">
        <is>
          <t>As a home occupant I want my heated floors to turn on at 6:45 am  so that they are heated once I get out of my morning shower..</t>
        </is>
      </c>
    </row>
    <row r="725">
      <c r="A725" t="n">
        <v>856</v>
      </c>
      <c r="B725" t="inlineStr">
        <is>
          <t>As a home occupant I want to be able to control the brightness of my rooms and turn off automatically when I leave the room so that I can save on energy costs.</t>
        </is>
      </c>
    </row>
    <row r="726">
      <c r="A726" t="n">
        <v>857</v>
      </c>
      <c r="B726" t="inlineStr">
        <is>
          <t>As a home occupant I want a machine operated bed  so that I could move around while in bed.</t>
        </is>
      </c>
    </row>
    <row r="727">
      <c r="A727" t="n">
        <v>858</v>
      </c>
      <c r="B727" t="inlineStr">
        <is>
          <t>As a home occupant I want to be alerted when someone enters my property so that I can be aware of someone approaching..</t>
        </is>
      </c>
    </row>
    <row r="728">
      <c r="A728" t="n">
        <v>859</v>
      </c>
      <c r="B728" t="inlineStr">
        <is>
          <t>As a home occupant I want my mail to be automatically taken into the house, and sorted by relevance and type so that I can ignore junk mail.</t>
        </is>
      </c>
    </row>
    <row r="729">
      <c r="A729" t="n">
        <v>860</v>
      </c>
      <c r="B729" t="inlineStr">
        <is>
          <t>As a home owner I want to be alerted when my energy usage appropaches an amount I set for the month so that I can lower my bill..</t>
        </is>
      </c>
    </row>
    <row r="730">
      <c r="A730" t="n">
        <v>861</v>
      </c>
      <c r="B730" t="inlineStr">
        <is>
          <t>As a parent I want my kids internet and home works should be monitored with the help of my mobile phones so that i can control them from work.</t>
        </is>
      </c>
    </row>
    <row r="731">
      <c r="A731" t="n">
        <v>862</v>
      </c>
      <c r="B731" t="inlineStr">
        <is>
          <t>As a home occupant I want A device to wash stove and tables so that I wouldnt have to wash.</t>
        </is>
      </c>
    </row>
    <row r="732">
      <c r="A732" t="n">
        <v>863</v>
      </c>
      <c r="B732" t="inlineStr">
        <is>
          <t>As a home occupant I want surfaces to automatically detect and report sanitation levels in real time so that I know what I really need to clean and when.</t>
        </is>
      </c>
    </row>
    <row r="733">
      <c r="A733" t="n">
        <v>864</v>
      </c>
      <c r="B733" t="inlineStr">
        <is>
          <t>As a home occupant I want my smart home's showers to automatically adjust to my desired water temperature so that I'm not wasting water or time trying to find it.</t>
        </is>
      </c>
    </row>
    <row r="734">
      <c r="A734" t="n">
        <v>865</v>
      </c>
      <c r="B734" t="inlineStr">
        <is>
          <t>As a home occupant I want a television playlist to automatically be generated from my streaming services, based on likes and recommendations so that view a sequence of shows I enjoy, and will enjoy, without lifting a finger.</t>
        </is>
      </c>
    </row>
    <row r="735">
      <c r="A735" t="n">
        <v>866</v>
      </c>
      <c r="B735" t="inlineStr">
        <is>
          <t>As a home occupant I want projected figure to assist me with a click of a remote so that i could get any help i need in any room.</t>
        </is>
      </c>
    </row>
    <row r="736">
      <c r="A736" t="n">
        <v>867</v>
      </c>
      <c r="B736" t="inlineStr">
        <is>
          <t>As a home occupant I want a feature to locate commonly misplaced items, phones, glasses, wallets, keys so that I can easily locate them.</t>
        </is>
      </c>
    </row>
    <row r="737">
      <c r="A737" t="n">
        <v>868</v>
      </c>
      <c r="B737" t="inlineStr">
        <is>
          <t>As a home occupant I want solar windows so that I could save energy.</t>
        </is>
      </c>
    </row>
    <row r="738">
      <c r="A738" t="n">
        <v>869</v>
      </c>
      <c r="B738" t="inlineStr">
        <is>
          <t>As a parents I want to have high resolution and night vision camera for my baby so that I know the second my baby is up and moving.</t>
        </is>
      </c>
    </row>
    <row r="739">
      <c r="A739" t="n">
        <v>870</v>
      </c>
      <c r="B739" t="inlineStr">
        <is>
          <t>As a occupant I want an oven that automatically sets the temperature and cooking time so that cooking can be optimized..</t>
        </is>
      </c>
    </row>
    <row r="740">
      <c r="A740" t="n">
        <v>871</v>
      </c>
      <c r="B740" t="inlineStr">
        <is>
          <t>As a daughter I want my smart home to have a phrase that my mother can say if she ever needs help so that She can easily get assistance if she has a medical emergency.</t>
        </is>
      </c>
    </row>
    <row r="741">
      <c r="A741" t="n">
        <v>872</v>
      </c>
      <c r="B741" t="inlineStr">
        <is>
          <t>As a parent I want to know how my kids are in their schools and how their classes are going on live so that i know how they study .</t>
        </is>
      </c>
    </row>
    <row r="742">
      <c r="A742" t="n">
        <v>873</v>
      </c>
      <c r="B742" t="inlineStr">
        <is>
          <t>As a pet owner I want to be able to check in with my pets via video and voice so that I can rest assured that they are okay throughout the day.</t>
        </is>
      </c>
    </row>
    <row r="743">
      <c r="A743" t="n">
        <v>874</v>
      </c>
      <c r="B743" t="inlineStr">
        <is>
          <t>As a home owner I want smart locks so that small children cannot get into cabinets.</t>
        </is>
      </c>
    </row>
    <row r="744">
      <c r="A744" t="n">
        <v>875</v>
      </c>
      <c r="B744" t="inlineStr">
        <is>
          <t>As a home occupant I want to be able to monitor carbon monoxide levels so that it is safe inside the house.</t>
        </is>
      </c>
    </row>
    <row r="745">
      <c r="A745" t="n">
        <v>876</v>
      </c>
      <c r="B745" t="inlineStr">
        <is>
          <t>As a home occupant I want face recognizing software so that the house would unlock when they see you.</t>
        </is>
      </c>
    </row>
    <row r="746">
      <c r="A746" t="n">
        <v>877</v>
      </c>
      <c r="B746" t="inlineStr">
        <is>
          <t>As a cook I want LED touchscreen displays so that cooking can be optimized..</t>
        </is>
      </c>
    </row>
    <row r="747">
      <c r="A747" t="n">
        <v>878</v>
      </c>
      <c r="B747" t="inlineStr">
        <is>
          <t>As a home occupant I want lights that automatically dim and shut off, after there is no movement in the room for a period of time so that I can conserve energy.</t>
        </is>
      </c>
    </row>
    <row r="748">
      <c r="A748" t="n">
        <v>879</v>
      </c>
      <c r="B748" t="inlineStr">
        <is>
          <t>As a home occupant I want to play my favorite music wirelessly  so that I can enjoy without having to move.</t>
        </is>
      </c>
    </row>
    <row r="749">
      <c r="A749" t="n">
        <v>880</v>
      </c>
      <c r="B749" t="inlineStr">
        <is>
          <t>As a home owner I want my daily purchase of home needs monitored and done automatically with the help of mobile application  so that i can save time.</t>
        </is>
      </c>
    </row>
    <row r="750">
      <c r="A750" t="n">
        <v>881</v>
      </c>
      <c r="B750" t="inlineStr">
        <is>
          <t>As a parent I want the chore board to be manageable by my smartphone, to send notifications to my children, and to lock them out from certain activities on their smartphones before the chores have been completed and verified by me so that the kids do their chores.</t>
        </is>
      </c>
    </row>
    <row r="751">
      <c r="A751" t="n">
        <v>882</v>
      </c>
      <c r="B751" t="inlineStr">
        <is>
          <t>As a home occupant I want house cookerchef so that the house could make your own food for you. .</t>
        </is>
      </c>
    </row>
    <row r="752">
      <c r="A752" t="n">
        <v>883</v>
      </c>
      <c r="B752" t="inlineStr">
        <is>
          <t>As a home owner I want gourmet recipe banks in the ovens so that i never go hungry.</t>
        </is>
      </c>
    </row>
    <row r="753">
      <c r="A753" t="n">
        <v>884</v>
      </c>
      <c r="B753" t="inlineStr">
        <is>
          <t>As a home occupant I want my smart home to alert my family when there is bad weather approaching so that they can take the necessary steps to stay safe.</t>
        </is>
      </c>
    </row>
    <row r="754">
      <c r="A754" t="n">
        <v>885</v>
      </c>
      <c r="B754" t="inlineStr">
        <is>
          <t>As a home occupant I want to listen to the latest NFL scores so that I am up to date. .</t>
        </is>
      </c>
    </row>
    <row r="755">
      <c r="A755" t="n">
        <v>886</v>
      </c>
      <c r="B755" t="inlineStr">
        <is>
          <t>As a home owner I want a thermostat that can be controlled from my smartphone so that im never cold or hot.</t>
        </is>
      </c>
    </row>
    <row r="756">
      <c r="A756" t="n">
        <v>887</v>
      </c>
      <c r="B756" t="inlineStr">
        <is>
          <t>As a home occupant I want voice recognition software so that so only I could ask for demands from the house .</t>
        </is>
      </c>
    </row>
    <row r="757">
      <c r="A757" t="n">
        <v>888</v>
      </c>
      <c r="B757" t="inlineStr">
        <is>
          <t>As a home owner I want optimized lighting system so that people think we are home.</t>
        </is>
      </c>
    </row>
    <row r="758">
      <c r="A758" t="n">
        <v>889</v>
      </c>
      <c r="B758" t="inlineStr">
        <is>
          <t>As a home occupant I want Handprint recognition on the front door so that I wouldnt need keys in case the face recognition isnt working right.</t>
        </is>
      </c>
    </row>
    <row r="759">
      <c r="A759" t="n">
        <v>890</v>
      </c>
      <c r="B759" t="inlineStr">
        <is>
          <t>As a home owner I want light bulbs that double down as speakers so that i can listen to music in cool places.</t>
        </is>
      </c>
    </row>
    <row r="760">
      <c r="A760" t="n">
        <v>891</v>
      </c>
      <c r="B760" t="inlineStr">
        <is>
          <t>As a home occupant I want to have feedback on my brushing technique so that I have healthy teeth.</t>
        </is>
      </c>
    </row>
    <row r="761">
      <c r="A761" t="n">
        <v>892</v>
      </c>
      <c r="B761" t="inlineStr">
        <is>
          <t>As a home owner I want fridge with a built in cooling system so that food stays fresh longer.</t>
        </is>
      </c>
    </row>
    <row r="762">
      <c r="A762" t="n">
        <v>893</v>
      </c>
      <c r="B762" t="inlineStr">
        <is>
          <t>As a home occupant I want a feature in the fridge that states when we are running low on items so that i would know when to buy more.</t>
        </is>
      </c>
    </row>
    <row r="763">
      <c r="A763" t="n">
        <v>894</v>
      </c>
      <c r="B763" t="inlineStr">
        <is>
          <t>As a home owner I want an alarm system that i can monitor anywhere so that i can make sure everyone is safe.</t>
        </is>
      </c>
    </row>
    <row r="764">
      <c r="A764" t="n">
        <v>895</v>
      </c>
      <c r="B764" t="inlineStr">
        <is>
          <t>As a home occupant I want my walls to display concert footage, automatically adjust acoustics of the room for optimal sound, and display light effects so that I can attend simulated concerts at home.</t>
        </is>
      </c>
    </row>
    <row r="765">
      <c r="A765" t="n">
        <v>896</v>
      </c>
      <c r="B765" t="inlineStr">
        <is>
          <t>As a home owner I want to know the weather condition automatically to my mobile  so that i can know how should i travel to my office .</t>
        </is>
      </c>
    </row>
    <row r="766">
      <c r="A766" t="n">
        <v>897</v>
      </c>
      <c r="B766" t="inlineStr">
        <is>
          <t>As a home owner I want motion sensors so that i can track movement.</t>
        </is>
      </c>
    </row>
    <row r="767">
      <c r="A767" t="n">
        <v>898</v>
      </c>
      <c r="B767" t="inlineStr">
        <is>
          <t>As a home occupant I want a virtual inventory of my closet, and daily suggestions for outfits from paid fashionistas online so that I know what to wear every day.</t>
        </is>
      </c>
    </row>
    <row r="768">
      <c r="A768" t="n">
        <v>899</v>
      </c>
      <c r="B768" t="inlineStr">
        <is>
          <t>As a home owner I want store and control rain water and water all my plants with the help of technology  so that i save water and plants.</t>
        </is>
      </c>
    </row>
    <row r="769">
      <c r="A769" t="n">
        <v>900</v>
      </c>
      <c r="B769" t="inlineStr">
        <is>
          <t>As a home occupant I want a feature for dimmed lighting and soft music so that I can relax and enjoy my downtime without much effort.</t>
        </is>
      </c>
    </row>
    <row r="770">
      <c r="A770" t="n">
        <v>901</v>
      </c>
      <c r="B770" t="inlineStr">
        <is>
          <t>As a parent I want monitoring software that detects nudity, drug use, and foul language and sends me live footage when it occurs so that I know my children are safe and behaving.</t>
        </is>
      </c>
    </row>
    <row r="771">
      <c r="A771" t="n">
        <v>902</v>
      </c>
      <c r="B771" t="inlineStr">
        <is>
          <t>As a home occupant I want televisions that are made into the house, without cords showing so that there is less mess and less danger for children.</t>
        </is>
      </c>
    </row>
    <row r="772">
      <c r="A772" t="n">
        <v>903</v>
      </c>
      <c r="B772" t="inlineStr">
        <is>
          <t>As a home occupant I want a built in "SIRI" like assistant so that i can easily organize all events, without having to keep up with a planner, and ask random questions to.</t>
        </is>
      </c>
    </row>
    <row r="773">
      <c r="A773" t="n">
        <v>904</v>
      </c>
      <c r="B773" t="inlineStr">
        <is>
          <t>As a home occupant I want to be able to lock and unlock my doors from any location, from my phone so that i can easily let neighbors in if necessary, or the kids if they've forgotten their key without having to worry about someone finding a hidden spare.</t>
        </is>
      </c>
    </row>
    <row r="774">
      <c r="A774" t="n">
        <v>905</v>
      </c>
      <c r="B774" t="inlineStr">
        <is>
          <t>As a pet owner I want my pet's food and water automatically refilled while I'm away so that I can travel without worrying that my pets are fed or thirsty.</t>
        </is>
      </c>
    </row>
    <row r="775">
      <c r="A775" t="n">
        <v>906</v>
      </c>
      <c r="B775" t="inlineStr">
        <is>
          <t>As a home occupant I want My smart home to set reminders to start laundry and alerts when laundry is done. so that I do not forget to do the laundry in order to have fresh clothes..</t>
        </is>
      </c>
    </row>
    <row r="776">
      <c r="A776" t="n">
        <v>907</v>
      </c>
      <c r="B776" t="inlineStr">
        <is>
          <t>As a parent I want videos that monitor the inside of my home so that I can view my teenage child's activities while I'm away on vacation or on business.</t>
        </is>
      </c>
    </row>
    <row r="777">
      <c r="A777" t="n">
        <v>908</v>
      </c>
      <c r="B777" t="inlineStr">
        <is>
          <t>As a home occupant I want To be Alerted with a sound when the garage is opened. so that I can know who is going in and out of the garage..</t>
        </is>
      </c>
    </row>
    <row r="778">
      <c r="A778" t="n">
        <v>909</v>
      </c>
      <c r="B778" t="inlineStr">
        <is>
          <t>As a home owner I want my refrigerator and freezer temperature monitored so that I don't have to worry about food contamination, spoilage or inadequate food storage.</t>
        </is>
      </c>
    </row>
    <row r="779">
      <c r="A779" t="n">
        <v>910</v>
      </c>
      <c r="B779" t="inlineStr">
        <is>
          <t>As a pet owner I want to be alerted when pets leave the home throught the doggy door so that I can know what my pets are up to. .</t>
        </is>
      </c>
    </row>
    <row r="780">
      <c r="A780" t="n">
        <v>911</v>
      </c>
      <c r="B780" t="inlineStr">
        <is>
          <t>As a home owner I want to be alerted when the doors leading into my home are opened while I'm away so that I wouldn't have to worry about intruders when I travel and am away from my home.</t>
        </is>
      </c>
    </row>
    <row r="781">
      <c r="A781" t="n">
        <v>912</v>
      </c>
      <c r="B781" t="inlineStr">
        <is>
          <t>As a home owner I want my smart home to notify me if the household's carbon footprint is getting too high so that  we can be more environmentally responsible.</t>
        </is>
      </c>
    </row>
    <row r="782">
      <c r="A782" t="n">
        <v>913</v>
      </c>
      <c r="B782" t="inlineStr">
        <is>
          <t>As a pet owner I want  my smart home to automatically refill the pet's water and food bowl through an automated system so that I know my pet will be taken care of in the event that no one is home or someone has forgotten to feed them...</t>
        </is>
      </c>
    </row>
    <row r="783">
      <c r="A783" t="n">
        <v>914</v>
      </c>
      <c r="B783" t="inlineStr">
        <is>
          <t>As a home occupant I want the temperature automatically adjusted inside my home when there are external changes in temperature to compensate so that I can be comfortable without having to adjust temperatures manually.</t>
        </is>
      </c>
    </row>
    <row r="784">
      <c r="A784" t="n">
        <v>915</v>
      </c>
      <c r="B784" t="inlineStr">
        <is>
          <t>As a home occupant I want my smart home to shut off lights when I leave the room so that I can save on my energy bill..</t>
        </is>
      </c>
    </row>
    <row r="785">
      <c r="A785" t="n">
        <v>916</v>
      </c>
      <c r="B785" t="inlineStr">
        <is>
          <t>As a a command kitchen that controls appliances by voice, I want  I can remote activate anything even not in the kitchen so that Energy.</t>
        </is>
      </c>
    </row>
    <row r="786">
      <c r="A786" t="n">
        <v>917</v>
      </c>
      <c r="B786" t="inlineStr">
        <is>
          <t>As a parent I want the door to record the time of day or night it is opened so that I can know what time my teenager comes home without having to stay up for him or her.</t>
        </is>
      </c>
    </row>
    <row r="787">
      <c r="A787" t="n">
        <v>918</v>
      </c>
      <c r="B787" t="inlineStr">
        <is>
          <t>As a environmentalist I want my smart home to control water intake by alerting me when I go above my set use. so that I can save on the water bill and help the environment. .</t>
        </is>
      </c>
    </row>
    <row r="788">
      <c r="A788" t="n">
        <v>919</v>
      </c>
      <c r="B788" t="inlineStr">
        <is>
          <t>As a home owner I want  The oven to talk with basic information so that Cooking can be done properly..</t>
        </is>
      </c>
    </row>
    <row r="789">
      <c r="A789" t="n">
        <v>920</v>
      </c>
      <c r="B789" t="inlineStr">
        <is>
          <t>As a home occupant I want air purity controller so that it detects pollution and sensors get active.</t>
        </is>
      </c>
    </row>
    <row r="790">
      <c r="A790" t="n">
        <v>921</v>
      </c>
      <c r="B790" t="inlineStr">
        <is>
          <t>As a parent I want to know when my kids come home by alerting me. so that I know where my kids are..</t>
        </is>
      </c>
    </row>
    <row r="791">
      <c r="A791" t="n">
        <v>922</v>
      </c>
      <c r="B791" t="inlineStr">
        <is>
          <t>As a son I want my elderly parent's vital signs monitored, for example heart rate, how long the person has been sitting, lying down or immobile so that So that I can be alerted if something happened to them while I'm at work.</t>
        </is>
      </c>
    </row>
    <row r="792">
      <c r="A792" t="n">
        <v>923</v>
      </c>
      <c r="B792" t="inlineStr">
        <is>
          <t>As a person with back problems I want to be able to voice activate lights, television, radio in my home so that I don't have to get up when I am in pain.</t>
        </is>
      </c>
    </row>
    <row r="793">
      <c r="A793" t="n">
        <v>924</v>
      </c>
      <c r="B793" t="inlineStr">
        <is>
          <t>As a home owner I want  Room thermostat sensor, so that The room is optimal temperature for an occupant ..</t>
        </is>
      </c>
    </row>
    <row r="794">
      <c r="A794" t="n">
        <v>925</v>
      </c>
      <c r="B794" t="inlineStr">
        <is>
          <t>As a home occupant I want my smart home to automatically turn on the sprinklers and water the lawn in conjuction with my mobile devices so that I can set timers from anywhere and take care of my garden.</t>
        </is>
      </c>
    </row>
    <row r="795">
      <c r="A795" t="n">
        <v>926</v>
      </c>
      <c r="B795" t="inlineStr">
        <is>
          <t>As a home occupant I want my smart phone to come with an app that whenever someone rings the doorbell, I can see on my phone, tablet, computer a picture/video of who it is from anywhere in the house, so that  we can know who is at the door more securely and be ahead of any possible problems.</t>
        </is>
      </c>
    </row>
    <row r="796">
      <c r="A796" t="n">
        <v>927</v>
      </c>
      <c r="B796" t="inlineStr">
        <is>
          <t>As a grocery shopper I want to be alerted when I am running low on specific common food items either in my fridge or cupboards so that I don't have to constantly update a grocery list but can rely on preprogrammed settings instead..</t>
        </is>
      </c>
    </row>
    <row r="797">
      <c r="A797" t="n">
        <v>928</v>
      </c>
      <c r="B797" t="inlineStr">
        <is>
          <t>As a home occupant I want My smart home to capture a picture and alert me via a specific sound and a text message via mobile phone when a vehicle enters my driveway, so that home and/or vehicle-related thefts can be minimized either when we are home or are not..</t>
        </is>
      </c>
    </row>
    <row r="798">
      <c r="A798" t="n">
        <v>929</v>
      </c>
      <c r="B798" t="inlineStr">
        <is>
          <t>As a home owner I want to have logs of when someone steps onto my property via sensors. so that I know if someone is coming and going..</t>
        </is>
      </c>
    </row>
    <row r="799">
      <c r="A799" t="n">
        <v>930</v>
      </c>
      <c r="B799" t="inlineStr">
        <is>
          <t>As a home occupant I want the temperature in my home to be monitored inside and outside the home and compare it to temperature settings so that I can monitor any deficiencies in insulation in my home and rectify them.</t>
        </is>
      </c>
    </row>
    <row r="800">
      <c r="A800" t="n">
        <v>931</v>
      </c>
      <c r="B800" t="inlineStr">
        <is>
          <t>As a home owner I want Retina scan for front door so that  Nobody else can get in..</t>
        </is>
      </c>
    </row>
    <row r="801">
      <c r="A801" t="n">
        <v>932</v>
      </c>
      <c r="B801" t="inlineStr">
        <is>
          <t>As a media watcher I want my smart home to make reccomendations of the up to date (new) movies that I may enjoy and remind me of shows I have recorded on my dvr. so that I can keep up to date on my media..</t>
        </is>
      </c>
    </row>
    <row r="802">
      <c r="A802" t="n">
        <v>933</v>
      </c>
      <c r="B802" t="inlineStr">
        <is>
          <t>As a tv viewer I want to lower and raise the volume on my TV verbally from any room in the house so that I can save time and physical energy.</t>
        </is>
      </c>
    </row>
    <row r="803">
      <c r="A803" t="n">
        <v>934</v>
      </c>
      <c r="B803" t="inlineStr">
        <is>
          <t>As a home occupant I want my smart home to alert me when it is time for a meal. so that I can keep up with a consisting meal schedule..</t>
        </is>
      </c>
    </row>
    <row r="804">
      <c r="A804" t="n">
        <v>935</v>
      </c>
      <c r="B804" t="inlineStr">
        <is>
          <t>As a home owner I want  my smart home to automatically close and open pre-specified window shades, and to turn on-off specific lights in and around my home automatically each night and each day, so that  I do not have to manually adjust these items each evening.</t>
        </is>
      </c>
    </row>
    <row r="805">
      <c r="A805" t="n">
        <v>937</v>
      </c>
      <c r="B805" t="inlineStr">
        <is>
          <t>As a home occupant I want my smart home to alert me via a specific sound and a text message via mobile phone when a personal parcel package is delivered to my door so that parcel package-related thefts can be minimized either when we are home or are not.</t>
        </is>
      </c>
    </row>
    <row r="806">
      <c r="A806" t="n">
        <v>938</v>
      </c>
      <c r="B806" t="inlineStr">
        <is>
          <t>As a home occupant I want Room thermostats so that Protect the room temperature.</t>
        </is>
      </c>
    </row>
    <row r="807">
      <c r="A807" t="n">
        <v>939</v>
      </c>
      <c r="B807" t="inlineStr">
        <is>
          <t>As a home occupant I want regulate my bore well motor so that Monitor the start and stop the motor running automatically.</t>
        </is>
      </c>
    </row>
    <row r="808">
      <c r="A808" t="n">
        <v>940</v>
      </c>
      <c r="B808" t="inlineStr">
        <is>
          <t>As a home occupant I want Smoke identifier  so that save the unwanted fire ..</t>
        </is>
      </c>
    </row>
    <row r="809">
      <c r="A809" t="n">
        <v>941</v>
      </c>
      <c r="B809" t="inlineStr">
        <is>
          <t>As a home occupant I want floor heating controller so that Maintain the floor temperature and good for human life.</t>
        </is>
      </c>
    </row>
    <row r="810">
      <c r="A810" t="n">
        <v>942</v>
      </c>
      <c r="B810" t="inlineStr">
        <is>
          <t>As a home occupant I want Switch on all electric goods during enter the room so that Automatic all electric equipments.</t>
        </is>
      </c>
    </row>
    <row r="811">
      <c r="A811" t="n">
        <v>943</v>
      </c>
      <c r="B811" t="inlineStr">
        <is>
          <t>As a home occupant I want my smart home to automatically close and open pre-specified window shades, and to turn on-off specific lights in and around my home automatically each  so that easy open and close.</t>
        </is>
      </c>
    </row>
    <row r="812">
      <c r="A812" t="n">
        <v>944</v>
      </c>
      <c r="B812" t="inlineStr">
        <is>
          <t>As a home occupant I want Automatic fan regulation so that when enter the room and sit down more than 5 min.</t>
        </is>
      </c>
    </row>
    <row r="813">
      <c r="A813" t="n">
        <v>945</v>
      </c>
      <c r="B813" t="inlineStr">
        <is>
          <t>As a home occupant I want wall mount transmitter so that Automatic  regulate the transmitter.</t>
        </is>
      </c>
    </row>
    <row r="814">
      <c r="A814" t="n">
        <v>946</v>
      </c>
      <c r="B814" t="inlineStr">
        <is>
          <t>As a a teacher I want daily syllabus to be studied with systematic alerts so that easy to teach the students.</t>
        </is>
      </c>
    </row>
    <row r="815">
      <c r="A815" t="n">
        <v>947</v>
      </c>
      <c r="B815" t="inlineStr">
        <is>
          <t>As a energy saver I want it to check each room and turn off lights if a person is not in the room so that save the electricity.</t>
        </is>
      </c>
    </row>
    <row r="816">
      <c r="A816" t="n">
        <v>948</v>
      </c>
      <c r="B816" t="inlineStr">
        <is>
          <t>As a a farmer I want to regulate the motor  so that it is very useful for save the water and electricity.</t>
        </is>
      </c>
    </row>
    <row r="817">
      <c r="A817" t="n">
        <v>949</v>
      </c>
      <c r="B817" t="inlineStr">
        <is>
          <t>As a a student I want schedule the home work so that very lot of work give importance and get low marks to get alert.</t>
        </is>
      </c>
    </row>
    <row r="818">
      <c r="A818" t="n">
        <v>950</v>
      </c>
      <c r="B818" t="inlineStr">
        <is>
          <t>As a home maker I want To stop the burner so that complete the cook then stop the burner automatically.</t>
        </is>
      </c>
    </row>
    <row r="819">
      <c r="A819" t="n">
        <v>951</v>
      </c>
      <c r="B819" t="inlineStr">
        <is>
          <t>As a health monitor I want increase the heart beat so that to ensure the health fitness.</t>
        </is>
      </c>
    </row>
    <row r="820">
      <c r="A820" t="n">
        <v>952</v>
      </c>
      <c r="B820" t="inlineStr">
        <is>
          <t>As a pressure patient I want to regulate the pressure so that easy to maintain the health problem.</t>
        </is>
      </c>
    </row>
    <row r="821">
      <c r="A821" t="n">
        <v>953</v>
      </c>
      <c r="B821" t="inlineStr">
        <is>
          <t>As a a farmer I want to know the weather so that when the rain come and light is high.</t>
        </is>
      </c>
    </row>
    <row r="822">
      <c r="A822" t="n">
        <v>954</v>
      </c>
      <c r="B822" t="inlineStr">
        <is>
          <t>As a good worker I want I know when the shift work to me so that easy to maintain the working purposed without failure.</t>
        </is>
      </c>
    </row>
    <row r="823">
      <c r="A823" t="n">
        <v>955</v>
      </c>
      <c r="B823" t="inlineStr">
        <is>
          <t>As a a headmaster I want maintain the working hours arrange the good teacher for free students so that increase the good result for the school.</t>
        </is>
      </c>
    </row>
    <row r="824">
      <c r="A824" t="n">
        <v>956</v>
      </c>
      <c r="B824" t="inlineStr">
        <is>
          <t>As a home occupant I want my smart home to have all the photographs and voices of the people that I want to visit my home recorded and a special tone to be assigned to them when the doorbell rings, so that  that unwanted visitors can be avoided..</t>
        </is>
      </c>
    </row>
    <row r="825">
      <c r="A825" t="n">
        <v>957</v>
      </c>
      <c r="B825" t="inlineStr">
        <is>
          <t>As a parent I want my smart home to send an alert to my phone when my children cut any electronics on after 10 pm. so that energy can be saved and I can monitor their computer usage..</t>
        </is>
      </c>
    </row>
    <row r="826">
      <c r="A826" t="n">
        <v>958</v>
      </c>
      <c r="B826" t="inlineStr">
        <is>
          <t>As a home occupant I want all water temperatures to be pre-programmed and controlled by a voice sensor so that the temperatures are safe for children to use..</t>
        </is>
      </c>
    </row>
    <row r="827">
      <c r="A827" t="n">
        <v>959</v>
      </c>
      <c r="B827" t="inlineStr">
        <is>
          <t>As a caregiver I want my smart home to alert me to when my child starts to exhibit signs of an asthma attack by flashing a red light with a human voice alert so that I can be aware if I am in another room that my child is sick..</t>
        </is>
      </c>
    </row>
    <row r="828">
      <c r="A828" t="n">
        <v>960</v>
      </c>
      <c r="B828" t="inlineStr">
        <is>
          <t>As a music lover I want my smart home to control the volume after 10pm. by automatically turning it down low if it is too loud so that my neighbors don't complain about the music playing too loud..</t>
        </is>
      </c>
    </row>
    <row r="829">
      <c r="A829" t="n">
        <v>961</v>
      </c>
      <c r="B829" t="inlineStr">
        <is>
          <t>As a home occupant I want my smart home to program the shower stall to cut the water off after 3 minutes in the shower so that I can save energy and money by taking shorter showers..</t>
        </is>
      </c>
    </row>
    <row r="830">
      <c r="A830" t="n">
        <v>962</v>
      </c>
      <c r="B830" t="inlineStr">
        <is>
          <t>As a home occupant I want my smart home to preheat my oven and turn on my coffeemaker at 7:00 am so that I can save time preparing food in the morning..</t>
        </is>
      </c>
    </row>
    <row r="831">
      <c r="A831" t="n">
        <v>963</v>
      </c>
      <c r="B831" t="inlineStr">
        <is>
          <t>As a nanny I want my smart home to automatically play the parents voice blended with soothing music when it is time for the baby to take a nap so that the baby adheres to their napping schedule..</t>
        </is>
      </c>
    </row>
    <row r="832">
      <c r="A832" t="n">
        <v>964</v>
      </c>
      <c r="B832" t="inlineStr">
        <is>
          <t>As a home occupant I want my smart home to sort through the trash at certain intervals and extract recyclables from the trash so that all trash is separated and recycled..</t>
        </is>
      </c>
    </row>
    <row r="833">
      <c r="A833" t="n">
        <v>965</v>
      </c>
      <c r="B833" t="inlineStr">
        <is>
          <t>As a home occupant I want a smart home that responds to my voice when I ask for weather and traffic updates by relaying the information through a human-like voice so that I can automatically know how much time I have to get to work and what to wear..</t>
        </is>
      </c>
    </row>
    <row r="834">
      <c r="A834" t="n">
        <v>966</v>
      </c>
      <c r="B834" t="inlineStr">
        <is>
          <t>As a cat owner I want my cat's food bowl to automatically fill itself when empty or it is time to feed my cat and to seal when the cat is not eating so that my cat's food does not go bad, and so it doesnt go hungry..</t>
        </is>
      </c>
    </row>
    <row r="835">
      <c r="A835" t="n">
        <v>967</v>
      </c>
      <c r="B835" t="inlineStr">
        <is>
          <t>As a home owner I want My shower to be cleaned with a device once per week. so that The shower stays nice and clean.</t>
        </is>
      </c>
    </row>
    <row r="836">
      <c r="A836" t="n">
        <v>968</v>
      </c>
      <c r="B836" t="inlineStr">
        <is>
          <t>As a home owner I want my house thermostat to decrease when I am sleeping so that I save on heating bills.</t>
        </is>
      </c>
    </row>
    <row r="837">
      <c r="A837" t="n">
        <v>969</v>
      </c>
      <c r="B837" t="inlineStr">
        <is>
          <t>As a home owner I want Dog food to be dispensed from a device into my dog's bowl at the same time every day. so that My dog will eat at the same time every day..</t>
        </is>
      </c>
    </row>
    <row r="838">
      <c r="A838" t="n">
        <v>970</v>
      </c>
      <c r="B838" t="inlineStr">
        <is>
          <t>As a recording engineer I want my house to notify me when someone is going to be entering my recording room so that I don't ruin a recording track.</t>
        </is>
      </c>
    </row>
    <row r="839">
      <c r="A839" t="n">
        <v>971</v>
      </c>
      <c r="B839" t="inlineStr">
        <is>
          <t>As a parent I want Children's programming to be on the TV when my kids get home from school. so that They will watch shows I approved of..</t>
        </is>
      </c>
    </row>
    <row r="840">
      <c r="A840" t="n">
        <v>972</v>
      </c>
      <c r="B840" t="inlineStr">
        <is>
          <t>As a worker I want my house to set an alarm for me when I request it to so that I am not late for things.</t>
        </is>
      </c>
    </row>
    <row r="841">
      <c r="A841" t="n">
        <v>973</v>
      </c>
      <c r="B841" t="inlineStr">
        <is>
          <t>As a home owner I want To be told I should go to bed and stop working. so that I can get up on time the next morning..</t>
        </is>
      </c>
    </row>
    <row r="842">
      <c r="A842" t="n">
        <v>974</v>
      </c>
      <c r="B842" t="inlineStr">
        <is>
          <t>As a gardener I want My home to notify me when it is time to water certian house plant so that the plants don't die.</t>
        </is>
      </c>
    </row>
    <row r="843">
      <c r="A843" t="n">
        <v>975</v>
      </c>
      <c r="B843" t="inlineStr">
        <is>
          <t>As a home occupant I want my smart home to alert me when there is difference in elder person's movements. so that so that i can know if they are not feeling well..</t>
        </is>
      </c>
    </row>
    <row r="844">
      <c r="A844" t="n">
        <v>976</v>
      </c>
      <c r="B844" t="inlineStr">
        <is>
          <t>As a home owner I want I wnt my favorite chair to be is massage mode when I get home. so that So that I can relax when I get home..</t>
        </is>
      </c>
    </row>
    <row r="845">
      <c r="A845" t="n">
        <v>977</v>
      </c>
      <c r="B845" t="inlineStr">
        <is>
          <t>As a holiday lover I want My house to turn off christmas decorations at night when I do to sleep so that I dont have a fire, or waste energy.</t>
        </is>
      </c>
    </row>
    <row r="846">
      <c r="A846" t="n">
        <v>978</v>
      </c>
      <c r="B846" t="inlineStr">
        <is>
          <t>As a home owner I want The shades opened in the morning so that I can see the sunlight when it is time to wake up..</t>
        </is>
      </c>
    </row>
    <row r="847">
      <c r="A847" t="n">
        <v>979</v>
      </c>
      <c r="B847" t="inlineStr">
        <is>
          <t>As a video game lover I want to be notified when friends log on to the network so that I can log on to play with them.</t>
        </is>
      </c>
    </row>
    <row r="848">
      <c r="A848" t="n">
        <v>980</v>
      </c>
      <c r="B848" t="inlineStr">
        <is>
          <t>As a home owner I want the gate to be opened when an vehicle is coming so that It will be easy to park the vehicle.</t>
        </is>
      </c>
    </row>
    <row r="849">
      <c r="A849" t="n">
        <v>981</v>
      </c>
      <c r="B849" t="inlineStr">
        <is>
          <t>As a home owner I want The crock pot to turn on at a certain time of the day so that When I get home the food I put in the crock pot will be done..</t>
        </is>
      </c>
    </row>
    <row r="850">
      <c r="A850" t="n">
        <v>982</v>
      </c>
      <c r="B850" t="inlineStr">
        <is>
          <t>As a forgetful person I want reminders of what I have to do that day every morning when I get up so that I dont forget something important.</t>
        </is>
      </c>
    </row>
    <row r="851">
      <c r="A851" t="n">
        <v>983</v>
      </c>
      <c r="B851" t="inlineStr">
        <is>
          <t>As a medication taker I want a reminder to take my medicine when I lay down in my bed to sleep so that I can continue being healthy.</t>
        </is>
      </c>
    </row>
    <row r="852">
      <c r="A852" t="n">
        <v>984</v>
      </c>
      <c r="B852" t="inlineStr">
        <is>
          <t>As a home occupant I want my smart home to notify me when it detects gas leakage so that a disaster can be avoided.</t>
        </is>
      </c>
    </row>
    <row r="853">
      <c r="A853" t="n">
        <v>985</v>
      </c>
      <c r="B853" t="inlineStr">
        <is>
          <t>As a home owner I want I want the lights to automatically turn off each time I leave a room so that I will save energy by not having uneeded lights on.</t>
        </is>
      </c>
    </row>
    <row r="854">
      <c r="A854" t="n">
        <v>986</v>
      </c>
      <c r="B854" t="inlineStr">
        <is>
          <t>As a laundry doer I want my house to tell me when a load is done so that thy don't sit in the machine and get gross.</t>
        </is>
      </c>
    </row>
    <row r="855">
      <c r="A855" t="n">
        <v>988</v>
      </c>
      <c r="B855" t="inlineStr">
        <is>
          <t>As a cleaner I want auto cleaner  so that cleanniness and good health.</t>
        </is>
      </c>
    </row>
    <row r="856">
      <c r="A856" t="n">
        <v>989</v>
      </c>
      <c r="B856" t="inlineStr">
        <is>
          <t>As a home owner I want my car to be started when I say "Start Car" so that when I go into the garage my car is already running..</t>
        </is>
      </c>
    </row>
    <row r="857">
      <c r="A857" t="n">
        <v>990</v>
      </c>
      <c r="B857" t="inlineStr">
        <is>
          <t>As a home occupant I want temperature sensors to control the heat of the hob or oven so that it cut off the power if the heat reaches the safety limit.</t>
        </is>
      </c>
    </row>
    <row r="858">
      <c r="A858" t="n">
        <v>991</v>
      </c>
      <c r="B858" t="inlineStr">
        <is>
          <t>As a entertainer I want I want my home to play soothing music while evening time so that i can relax.</t>
        </is>
      </c>
    </row>
    <row r="859">
      <c r="A859" t="n">
        <v>992</v>
      </c>
      <c r="B859" t="inlineStr">
        <is>
          <t>As a house keeper I want Auto humidifier when necessary so that healthy level of humidity is in the air.</t>
        </is>
      </c>
    </row>
    <row r="860">
      <c r="A860" t="n">
        <v>993</v>
      </c>
      <c r="B860" t="inlineStr">
        <is>
          <t>As a home owner I want my smart home to alert me when i have low or high amount of sleep. so that i can maintain a good sleep.</t>
        </is>
      </c>
    </row>
    <row r="861">
      <c r="A861" t="n">
        <v>994</v>
      </c>
      <c r="B861" t="inlineStr">
        <is>
          <t>As a parent I want turn off lights when nobody is in the room during the daytime only so that saves money.</t>
        </is>
      </c>
    </row>
    <row r="862">
      <c r="A862" t="n">
        <v>995</v>
      </c>
      <c r="B862" t="inlineStr">
        <is>
          <t>As a as a house keeper I want I want to check whether i have closed all the taps so that prevent water loss.</t>
        </is>
      </c>
    </row>
    <row r="863">
      <c r="A863" t="n">
        <v>996</v>
      </c>
      <c r="B863" t="inlineStr">
        <is>
          <t>As a servant I want alert me when something usual happened like fire,smoke so that prevent from bad things that might happen.</t>
        </is>
      </c>
    </row>
    <row r="864">
      <c r="A864" t="n">
        <v>997</v>
      </c>
      <c r="B864" t="inlineStr">
        <is>
          <t>As a home occupant I want an emergency alarm which send messages to pre selected numbers so that i can alert others something is wrong..</t>
        </is>
      </c>
    </row>
    <row r="865">
      <c r="A865" t="n">
        <v>998</v>
      </c>
      <c r="B865" t="inlineStr">
        <is>
          <t>As a as a parent I want monitor when the baby is waking up from sleep so that turn my concentration towards by baby.</t>
        </is>
      </c>
    </row>
    <row r="866">
      <c r="A866" t="n">
        <v>999</v>
      </c>
      <c r="B866" t="inlineStr">
        <is>
          <t>As a home occupant I want automatic lighting system which turns on light after getting dark so that i don't need to worry about switching on and off lights when i am out of home..</t>
        </is>
      </c>
    </row>
    <row r="867">
      <c r="A867" t="n">
        <v>1000</v>
      </c>
      <c r="B867" t="inlineStr">
        <is>
          <t>As a social network participant I want an feature to alert me when i spend too much time on social networks so that i can get back to my work.</t>
        </is>
      </c>
    </row>
    <row r="868">
      <c r="A868" t="n">
        <v>1001</v>
      </c>
      <c r="B868" t="inlineStr">
        <is>
          <t>As a house keeper I want automatically turn off gas during earthquake or fire so that remain safe during natural disaster.</t>
        </is>
      </c>
    </row>
    <row r="869">
      <c r="A869" t="n">
        <v>1002</v>
      </c>
      <c r="B869" t="inlineStr">
        <is>
          <t>As a manager I want alert me when i need to service my fridge, washing machine so that so that i can do that in time.</t>
        </is>
      </c>
    </row>
    <row r="870">
      <c r="A870" t="n">
        <v>1003</v>
      </c>
      <c r="B870" t="inlineStr">
        <is>
          <t>As a person who is highly active online, I want my new e-mails to be listed and read out to me when I wake up in the morning so that I don't have to grope for my cell phone to check my e-mails every day when I wake up..</t>
        </is>
      </c>
    </row>
    <row r="871">
      <c r="A871" t="n">
        <v>1004</v>
      </c>
      <c r="B871" t="inlineStr">
        <is>
          <t>As a home occupant I want hallway motion detectors so that so that safety is increased.</t>
        </is>
      </c>
    </row>
    <row r="872">
      <c r="A872" t="n">
        <v>1005</v>
      </c>
      <c r="B872" t="inlineStr">
        <is>
          <t>As a home occupant I want my smart home to alert me when i spend too much time watching televisions. so that i can get back to my work.</t>
        </is>
      </c>
    </row>
    <row r="873">
      <c r="A873" t="n">
        <v>1006</v>
      </c>
      <c r="B873" t="inlineStr">
        <is>
          <t>As a person who likes to keep her windows open I want my windows to automatically close when it rains so that I don't get the things in my room wet..</t>
        </is>
      </c>
    </row>
    <row r="874">
      <c r="A874" t="n">
        <v>1007</v>
      </c>
      <c r="B874" t="inlineStr">
        <is>
          <t>As a home occupant I want my smart home to turn on Air conditioner when the temperature is high and can sense human presence in the room so that i can maintain good  room temperture.</t>
        </is>
      </c>
    </row>
    <row r="875">
      <c r="A875" t="n">
        <v>1008</v>
      </c>
      <c r="B875" t="inlineStr">
        <is>
          <t>As a person who owns a cat who only drinks water from the bath tub, I want to be notified whenever the cat is sitting in the bath tub, so I can turn on the tap for him. so that so I can turn on the tap for him..</t>
        </is>
      </c>
    </row>
    <row r="876">
      <c r="A876" t="n">
        <v>1009</v>
      </c>
      <c r="B876" t="inlineStr">
        <is>
          <t>As a person who checks her mailbox regularly, I want to be notified whenever I get new mail so that I don't have to spend time checking the mailbox if there is no new mail..</t>
        </is>
      </c>
    </row>
    <row r="877">
      <c r="A877" t="n">
        <v>1010</v>
      </c>
      <c r="B877" t="inlineStr">
        <is>
          <t>As a person who often cook her own meals I want suggestions and recipes of what I can make for a meal with whatever ingredients I have in the fridge so that I will be able to make full use of my groceries..</t>
        </is>
      </c>
    </row>
    <row r="878">
      <c r="A878" t="n">
        <v>1011</v>
      </c>
      <c r="B878" t="inlineStr">
        <is>
          <t>As a person who enjoys listening to music I want nice instrumental music to get turned on in the bathroom whenever I enter it so that I can enjoy music while in the bathroom taking a shower..</t>
        </is>
      </c>
    </row>
    <row r="879">
      <c r="A879" t="n">
        <v>1012</v>
      </c>
      <c r="B879" t="inlineStr">
        <is>
          <t>As a cat owner I want to be notified whenever my cat uses the cat litter so that I can clean it immediately and my cat can enjoy clean cat litter..</t>
        </is>
      </c>
    </row>
    <row r="880">
      <c r="A880" t="n">
        <v>1013</v>
      </c>
      <c r="B880" t="inlineStr">
        <is>
          <t>As a person who values safety I want to be notified when the stovetop is on for an inordinate amount of time so that my food doesn't burn or set the house on fire..</t>
        </is>
      </c>
    </row>
    <row r="881">
      <c r="A881" t="n">
        <v>1014</v>
      </c>
      <c r="B881" t="inlineStr">
        <is>
          <t>As a cat owner I want to be reminded before I leave the house if I have left food and water for the cat so that the cat can have water to drink and food to eat when I am out..</t>
        </is>
      </c>
    </row>
    <row r="882">
      <c r="A882" t="n">
        <v>1015</v>
      </c>
      <c r="B882" t="inlineStr">
        <is>
          <t>As a cat owner I want to be notified when the level of cat litter has run low so that I can add more cat litter to ensure that my cat has enough to do his business..</t>
        </is>
      </c>
    </row>
    <row r="883">
      <c r="A883" t="n">
        <v>1016</v>
      </c>
      <c r="B883" t="inlineStr">
        <is>
          <t>As a home owner I want I want the lights turned off after 6 am if nobody is at home so that none will know that nobody is not at home..</t>
        </is>
      </c>
    </row>
    <row r="884">
      <c r="A884" t="n">
        <v>1017</v>
      </c>
      <c r="B884" t="inlineStr">
        <is>
          <t>As a home owner I want the unnessary taps to turn off so that I can save water..</t>
        </is>
      </c>
    </row>
    <row r="885">
      <c r="A885" t="n">
        <v>1018</v>
      </c>
      <c r="B885" t="inlineStr">
        <is>
          <t>As a home owner I want the motor to switch off when the tank is full so that I can save the bill..</t>
        </is>
      </c>
    </row>
    <row r="886">
      <c r="A886" t="n">
        <v>1019</v>
      </c>
      <c r="B886" t="inlineStr">
        <is>
          <t>As a home owner I want the lights to turn on at 6 if nobody is at home so that people will think that we are at home..</t>
        </is>
      </c>
    </row>
    <row r="887">
      <c r="A887" t="n">
        <v>1020</v>
      </c>
      <c r="B887" t="inlineStr">
        <is>
          <t>As a home owner I want i want the windows to lock so that no flies come in.</t>
        </is>
      </c>
    </row>
    <row r="888">
      <c r="A888" t="n">
        <v>1021</v>
      </c>
      <c r="B888" t="inlineStr">
        <is>
          <t>As a home owner I want I want to get alert calls when the gas is going to finish so that I can get a new one..</t>
        </is>
      </c>
    </row>
    <row r="889">
      <c r="A889" t="n">
        <v>1022</v>
      </c>
      <c r="B889" t="inlineStr">
        <is>
          <t>As a home owner I want the house to get cleaned when we are outdoors so that my house remains clean.</t>
        </is>
      </c>
    </row>
    <row r="890">
      <c r="A890" t="n">
        <v>1023</v>
      </c>
      <c r="B890" t="inlineStr">
        <is>
          <t>As a home owner I want the windows to remain dust free so that we remain healthy.</t>
        </is>
      </c>
    </row>
    <row r="891">
      <c r="A891" t="n">
        <v>1024</v>
      </c>
      <c r="B891" t="inlineStr">
        <is>
          <t>As a home owner I want I want my vehicles to get auto locked at night so that it remains safe..</t>
        </is>
      </c>
    </row>
    <row r="892">
      <c r="A892" t="n">
        <v>1025</v>
      </c>
      <c r="B892" t="inlineStr">
        <is>
          <t>As a home owner I want to get alars when the nearby shop is going to get closed so that I do not run short of things..</t>
        </is>
      </c>
    </row>
    <row r="893">
      <c r="A893" t="n">
        <v>1026</v>
      </c>
      <c r="B893" t="inlineStr">
        <is>
          <t>As a parent I want to lock the cartoon channels after 1 hour so that my kids do not waste time..</t>
        </is>
      </c>
    </row>
    <row r="894">
      <c r="A894" t="n">
        <v>1027</v>
      </c>
      <c r="B894" t="inlineStr">
        <is>
          <t>As a parent I want I want to get alert calls when my kids reach home so that I can remain calm..</t>
        </is>
      </c>
    </row>
    <row r="895">
      <c r="A895" t="n">
        <v>1028</v>
      </c>
      <c r="B895" t="inlineStr">
        <is>
          <t>As a home owner I want the temperature in my house to become more energy efficient when I leave but raise again when I come back so that energy and money can be saved without it being inconvenient .</t>
        </is>
      </c>
    </row>
    <row r="896">
      <c r="A896" t="n">
        <v>1029</v>
      </c>
      <c r="B896" t="inlineStr">
        <is>
          <t>As a home owner I want my window blinds to automatically block out the sun so that I don't have to walk around pulling their strings.</t>
        </is>
      </c>
    </row>
    <row r="897">
      <c r="A897" t="n">
        <v>1030</v>
      </c>
      <c r="B897" t="inlineStr">
        <is>
          <t>As a home occupant I want a feature that detects when the room could use a boost of aromatherapy so that I can enjoy the pleasant smells and relax.</t>
        </is>
      </c>
    </row>
    <row r="898">
      <c r="A898" t="n">
        <v>1031</v>
      </c>
      <c r="B898" t="inlineStr">
        <is>
          <t>As a home occupant I want lights that dim as well as change color so that my eyes are not bothered by bright lights and my vision is not impaired by strong white light at night.</t>
        </is>
      </c>
    </row>
    <row r="899">
      <c r="A899" t="n">
        <v>1032</v>
      </c>
      <c r="B899" t="inlineStr">
        <is>
          <t>As a food preparer I want a system set up through the house that notifies me when items are cooked or other kitchen-related messages so that I don't have to stay in the kitchen at all times or get confused when multiple timers are set at once.</t>
        </is>
      </c>
    </row>
    <row r="900">
      <c r="A900" t="n">
        <v>1033</v>
      </c>
      <c r="B900" t="inlineStr">
        <is>
          <t>As a responsible pet owner I want a way to view a live stream of my pet when I am out of the house so that I can make sure my pet is all right.</t>
        </is>
      </c>
    </row>
    <row r="901">
      <c r="A901" t="n">
        <v>1034</v>
      </c>
      <c r="B901" t="inlineStr">
        <is>
          <t>As a home owner I want Floor Detection Vaccum so that It will indicate when the floor is at a level of dirtiness  so that it can keep the floor clean.</t>
        </is>
      </c>
    </row>
    <row r="902">
      <c r="A902" t="n">
        <v>1035</v>
      </c>
      <c r="B902" t="inlineStr">
        <is>
          <t>As a responsible pet owner I want to be able to control adding more food or water to my pet's dishes remotely so that my pet won't run out of food or water while I'm gone.</t>
        </is>
      </c>
    </row>
    <row r="903">
      <c r="A903" t="n">
        <v>1036</v>
      </c>
      <c r="B903" t="inlineStr">
        <is>
          <t>As a home owner I want my trash cans and recycling bin automatically returned to my garage after trash pickup so that no one is aware that I am not home because of my empty trash receptacles on the curb.</t>
        </is>
      </c>
    </row>
    <row r="904">
      <c r="A904" t="n">
        <v>1037</v>
      </c>
      <c r="B904" t="inlineStr">
        <is>
          <t>As a home occupant I want a self-loading dishwasher so that I can save time when its mealtime.</t>
        </is>
      </c>
    </row>
    <row r="905">
      <c r="A905" t="n">
        <v>1038</v>
      </c>
      <c r="B905" t="inlineStr">
        <is>
          <t>As a home owner I want A smart dirty clothes hamper that takes clothes and sorts then and washes at a specified time so that I can save time on doing laundry.</t>
        </is>
      </c>
    </row>
    <row r="906">
      <c r="A906" t="n">
        <v>1039</v>
      </c>
      <c r="B906" t="inlineStr">
        <is>
          <t>As a food preparer I want a waterproof screen in the kitchen that can look up recipes and play cooking instructional videos without me having to touch it so that I can receive help cooking without destroying my laptop or other device with messy hands.</t>
        </is>
      </c>
    </row>
    <row r="907">
      <c r="A907" t="n">
        <v>1040</v>
      </c>
      <c r="B907" t="inlineStr">
        <is>
          <t>As a caregiver to an elderly parent I want a sensor that detects a person lying on the floor for more than one minute so that I can know that my elderly parent has fallen and needs assistance.</t>
        </is>
      </c>
    </row>
    <row r="908">
      <c r="A908" t="n">
        <v>1041</v>
      </c>
      <c r="B908" t="inlineStr">
        <is>
          <t>As a home occupant I want self scrubbing carpets so that I never have to pay for a deep cleaner when i move.</t>
        </is>
      </c>
    </row>
    <row r="909">
      <c r="A909" t="n">
        <v>1042</v>
      </c>
      <c r="B909" t="inlineStr">
        <is>
          <t>As a home occupant I want TV's with netflix in the bathrooms so that i can relax at night once my son is in bed.</t>
        </is>
      </c>
    </row>
    <row r="910">
      <c r="A910" t="n">
        <v>1043</v>
      </c>
      <c r="B910" t="inlineStr">
        <is>
          <t>As a home owner I want Bed that makes itself so that I can save time on making the bed.</t>
        </is>
      </c>
    </row>
    <row r="911">
      <c r="A911" t="n">
        <v>1044</v>
      </c>
      <c r="B911" t="inlineStr">
        <is>
          <t>As a home occupant I want Solar panels so that I can save on electricity and reduce my carbon imprint.</t>
        </is>
      </c>
    </row>
    <row r="912">
      <c r="A912" t="n">
        <v>1045</v>
      </c>
      <c r="B912" t="inlineStr">
        <is>
          <t>As a home owner I want to be alerted whenever my favorite celebrities have a show or movie on tv so that I do not miss an airing of my favorite actors and actresses.</t>
        </is>
      </c>
    </row>
    <row r="913">
      <c r="A913" t="n">
        <v>1046</v>
      </c>
      <c r="B913" t="inlineStr">
        <is>
          <t>As a home occupant I want smart smoke and carbon monoxide monitor that is more interactive than a simple alarm that's confusing and frustrating so that I can be assured I'm safe and don't have to mess to antiquated devices.</t>
        </is>
      </c>
    </row>
    <row r="914">
      <c r="A914" t="n">
        <v>1047</v>
      </c>
      <c r="B914" t="inlineStr">
        <is>
          <t>As a mother I want automatic baby gates so that my son can't escape his room when I have to do things like use the restroom, cook.</t>
        </is>
      </c>
    </row>
    <row r="915">
      <c r="A915" t="n">
        <v>1048</v>
      </c>
      <c r="B915" t="inlineStr">
        <is>
          <t>As a woman I want a shower head that washes my hair for me so that I can bathe while it washes my hair for me.</t>
        </is>
      </c>
    </row>
    <row r="916">
      <c r="A916" t="n">
        <v>1049</v>
      </c>
      <c r="B916" t="inlineStr">
        <is>
          <t>As a home occupant I want floors and counters that sanitize themselves so that I don't have to worry about spreading germs constantly.</t>
        </is>
      </c>
    </row>
    <row r="917">
      <c r="A917" t="n">
        <v>1050</v>
      </c>
      <c r="B917" t="inlineStr">
        <is>
          <t>As a mother I want a "smart fridge" so that I can know what I need to buy from the grocery store, and get a list emailed to me.</t>
        </is>
      </c>
    </row>
    <row r="918">
      <c r="A918" t="n">
        <v>1051</v>
      </c>
      <c r="B918" t="inlineStr">
        <is>
          <t>As a pet owner I want laser lights and toy balls to appear at random intervals so that my cats and dogs are entertained when I am away from home.</t>
        </is>
      </c>
    </row>
    <row r="919">
      <c r="A919" t="n">
        <v>1052</v>
      </c>
      <c r="B919" t="inlineStr">
        <is>
          <t>As a parent I want to be alerted when my child leaves his or her bed at night so that I know what my child is up to when he or she is supposed to be sleeping.</t>
        </is>
      </c>
    </row>
    <row r="920">
      <c r="A920" t="n">
        <v>1053</v>
      </c>
      <c r="B920" t="inlineStr">
        <is>
          <t>As a home owner I want Timed "orange lights" so that when a certain time of day hits, all of the applicances with screens turn an orange hue, getting rid of the blue light that keeps human brains active at night and inhibits melatonin production.</t>
        </is>
      </c>
    </row>
    <row r="921">
      <c r="A921" t="n">
        <v>1054</v>
      </c>
      <c r="B921" t="inlineStr">
        <is>
          <t>As a student I want a device that reads any book/notes I hover it over so that I can study while doing other things.</t>
        </is>
      </c>
    </row>
    <row r="922">
      <c r="A922" t="n">
        <v>1055</v>
      </c>
      <c r="B922" t="inlineStr">
        <is>
          <t>As a home occupant I want self sanitizing bathrooms so that my family gets sick less often.</t>
        </is>
      </c>
    </row>
    <row r="923">
      <c r="A923" t="n">
        <v>1056</v>
      </c>
      <c r="B923" t="inlineStr">
        <is>
          <t>As a home owner I want a list compiled of my energy usage per hour and what appliance is using what amount of energy so that I can monitor my energy usage and cut back on areas where I am using too much energy.</t>
        </is>
      </c>
    </row>
    <row r="924">
      <c r="A924" t="n">
        <v>1057</v>
      </c>
      <c r="B924" t="inlineStr">
        <is>
          <t>As a mother I want A motion sensor on all doors so that I know which room my son is in at all times ( hes 8 months old, i'm not a helicopter :P ).</t>
        </is>
      </c>
    </row>
    <row r="925">
      <c r="A925" t="n">
        <v>1058</v>
      </c>
      <c r="B925" t="inlineStr">
        <is>
          <t>As a home owner I want my smoke alarms to regularly test themselves and report the results to me so that I will always be assured that my smoke alarms are working in case of fire.</t>
        </is>
      </c>
    </row>
    <row r="926">
      <c r="A926" t="n">
        <v>1059</v>
      </c>
      <c r="B926" t="inlineStr">
        <is>
          <t>As a wife I want "smart" dinner system so that I can easily track and find my familys favorite meals, and get a list of things i need for them vs what I already have in my smart fridge.</t>
        </is>
      </c>
    </row>
    <row r="927">
      <c r="A927" t="n">
        <v>1060</v>
      </c>
      <c r="B927" t="inlineStr">
        <is>
          <t>As a home owner I want my house to test itself for radon levels twice a year so that radon levels are always kept below the minimum and I am alerted if I need to install fans or circulators.</t>
        </is>
      </c>
    </row>
    <row r="928">
      <c r="A928" t="n">
        <v>1061</v>
      </c>
      <c r="B928" t="inlineStr">
        <is>
          <t>As a home owner I want "Live" wallpaper so that I can customize my homes wallpaper (probably via a projector or hologram) to fit my moods, and the situation ( entertaining, ect).</t>
        </is>
      </c>
    </row>
    <row r="929">
      <c r="A929" t="n">
        <v>1062</v>
      </c>
      <c r="B929" t="inlineStr">
        <is>
          <t>As a home owner I want Automatic lights that turn off whenever I leave the room so that I can save on electricity bills.</t>
        </is>
      </c>
    </row>
    <row r="930">
      <c r="A930" t="n">
        <v>1063</v>
      </c>
      <c r="B930" t="inlineStr">
        <is>
          <t>As a neighbor I want to be alerted if there is no activity at my neighbor's house for a set extended period of time so that I can inquire after the wellbeing of my neighbors if they have not been active after an extended period.</t>
        </is>
      </c>
    </row>
    <row r="931">
      <c r="A931" t="n">
        <v>1064</v>
      </c>
      <c r="B931" t="inlineStr">
        <is>
          <t>As a pianist I want be alerted when my piano needs tuning or is slightly out of tune so that I can keep my piano well tuned.</t>
        </is>
      </c>
    </row>
    <row r="932">
      <c r="A932" t="n">
        <v>1065</v>
      </c>
      <c r="B932" t="inlineStr">
        <is>
          <t>As a home owner I want Restock-able Toilet  Paper so that I wont have to take the toilet paper off of the roll and replace after its done.</t>
        </is>
      </c>
    </row>
    <row r="933">
      <c r="A933" t="n">
        <v>1066</v>
      </c>
      <c r="B933" t="inlineStr">
        <is>
          <t>As a home owner I want Automatic Garbage that detects when it is full and Empties itself to the curb so that I can save the energy used to have to take of the garbage.</t>
        </is>
      </c>
    </row>
    <row r="934">
      <c r="A934" t="n">
        <v>1067</v>
      </c>
      <c r="B934" t="inlineStr">
        <is>
          <t>As a home owner I want Washing Machine that automatically dispenses Detergent based on the size of the load so that save time.</t>
        </is>
      </c>
    </row>
    <row r="935">
      <c r="A935" t="n">
        <v>1068</v>
      </c>
      <c r="B935" t="inlineStr">
        <is>
          <t>As a home owner I want pipes and wiring that can alert me when there is a leak or a potential issue so that I can know if there is a problem in my house.</t>
        </is>
      </c>
    </row>
    <row r="936">
      <c r="A936" t="n">
        <v>1069</v>
      </c>
      <c r="B936" t="inlineStr">
        <is>
          <t>As a home occupant I want the bed itself to track sleep patterns and give suggestions so that I can achieve a better night sleep and don't have to worry about wearing devices.</t>
        </is>
      </c>
    </row>
    <row r="937">
      <c r="A937" t="n">
        <v>1070</v>
      </c>
      <c r="B937" t="inlineStr">
        <is>
          <t>As a environmentalist I want An Ac unit to turn off when it reaches a certain temperature.  so that I will use less energy.</t>
        </is>
      </c>
    </row>
    <row r="938">
      <c r="A938" t="n">
        <v>1071</v>
      </c>
      <c r="B938" t="inlineStr">
        <is>
          <t>As a light sleeper I want light bulbs that can be triggered to slowly dim over a period of about half an hour to simulate the sun going down so that I can more easily fall asleep and be rested.</t>
        </is>
      </c>
    </row>
    <row r="939">
      <c r="A939" t="n">
        <v>1072</v>
      </c>
      <c r="B939" t="inlineStr">
        <is>
          <t>As a home owner I want voice automated phone so that I can speak on the phone and make calls from anywhere in my home.</t>
        </is>
      </c>
    </row>
    <row r="940">
      <c r="A940" t="n">
        <v>1073</v>
      </c>
      <c r="B940" t="inlineStr">
        <is>
          <t>As a scrupulous saver I want "piggy" bank that tracks the money added and responds with congratulations and other comments so that I can be encouraged to save.</t>
        </is>
      </c>
    </row>
    <row r="941">
      <c r="A941" t="n">
        <v>1074</v>
      </c>
      <c r="B941" t="inlineStr">
        <is>
          <t>As a asthmatic I want my home to let me know when dust particulates are high so that don't go into anaphalaxis.</t>
        </is>
      </c>
    </row>
    <row r="942">
      <c r="A942" t="n">
        <v>1075</v>
      </c>
      <c r="B942" t="inlineStr">
        <is>
          <t>As a person that likes comfort I want to have the air turned on when I walk in the house so that I don't waste AC when I'm not there, but I have cold air when I'm in the house..</t>
        </is>
      </c>
    </row>
    <row r="943">
      <c r="A943" t="n">
        <v>1076</v>
      </c>
      <c r="B943" t="inlineStr">
        <is>
          <t>As a home occupant I want a sophisticated shower that controls temperature, light, water pressure, etc. and responds to voice commands so that the shower can be the most relaxing part of the day.</t>
        </is>
      </c>
    </row>
    <row r="944">
      <c r="A944" t="n">
        <v>1077</v>
      </c>
      <c r="B944" t="inlineStr">
        <is>
          <t>As a home owner I want my security camera to let me know when there is a large infrared signal during the night so I would know there is a robber so that I don't get robbed.</t>
        </is>
      </c>
    </row>
    <row r="945">
      <c r="A945" t="n">
        <v>1078</v>
      </c>
      <c r="B945" t="inlineStr">
        <is>
          <t>As a home owner I want want my sprinklers to turn off after 3 minutes so that so that i will use less water.</t>
        </is>
      </c>
    </row>
    <row r="946">
      <c r="A946" t="n">
        <v>1079</v>
      </c>
      <c r="B946" t="inlineStr">
        <is>
          <t>As a person who cooks I want water boiled for pasta whenever I say "boil pasta" so that I can cook faster.</t>
        </is>
      </c>
    </row>
    <row r="947">
      <c r="A947" t="n">
        <v>1080</v>
      </c>
      <c r="B947" t="inlineStr">
        <is>
          <t>As a parent I want be able to call 911 with my voice so that I can quickly call during an emergency.</t>
        </is>
      </c>
    </row>
    <row r="948">
      <c r="A948" t="n">
        <v>1081</v>
      </c>
      <c r="B948" t="inlineStr">
        <is>
          <t>As a parent I want my internet to filter adult sites. so that my children will not see them.</t>
        </is>
      </c>
    </row>
    <row r="949">
      <c r="A949" t="n">
        <v>1082</v>
      </c>
      <c r="B949" t="inlineStr">
        <is>
          <t>As a music lover I want a certain type of music played when I express my mood so that I quickly get my music without thinking..</t>
        </is>
      </c>
    </row>
    <row r="950">
      <c r="A950" t="n">
        <v>1083</v>
      </c>
      <c r="B950" t="inlineStr">
        <is>
          <t>As a home owner I want have the lights turn off automatically if it senses no motion so that I can save money.</t>
        </is>
      </c>
    </row>
    <row r="951">
      <c r="A951" t="n">
        <v>1084</v>
      </c>
      <c r="B951" t="inlineStr">
        <is>
          <t>As a home occupant I want a smart washer and dryer combination machine that keeps the clothes fresh until I take them out so that I don't have to remove them right away or let them get wrinkled again.</t>
        </is>
      </c>
    </row>
    <row r="952">
      <c r="A952" t="n">
        <v>1085</v>
      </c>
      <c r="B952" t="inlineStr">
        <is>
          <t>As a environmentalist I want my lights bulbs to turn off after 5 minutes so that i use less energy.</t>
        </is>
      </c>
    </row>
    <row r="953">
      <c r="A953" t="n">
        <v>1086</v>
      </c>
      <c r="B953" t="inlineStr">
        <is>
          <t>As a home owner I want have my home alert me to energy problems such as drafts or cold air flows during winter so that I can save money.</t>
        </is>
      </c>
    </row>
    <row r="954">
      <c r="A954" t="n">
        <v>1087</v>
      </c>
      <c r="B954" t="inlineStr">
        <is>
          <t>As a person who likes to be safe I want A ding when someone walks by my driveway. so that I know who approaches my house.</t>
        </is>
      </c>
    </row>
    <row r="955">
      <c r="A955" t="n">
        <v>1088</v>
      </c>
      <c r="B955" t="inlineStr">
        <is>
          <t>As a cook I want a refrigerator that can catalog the items inside and alert me how long they've been in there and if they should be eaten soon so that I don't waste food and can also make the most of what I have.</t>
        </is>
      </c>
    </row>
    <row r="956">
      <c r="A956" t="n">
        <v>1089</v>
      </c>
      <c r="B956" t="inlineStr">
        <is>
          <t>As a home owner I want my house to alert me to mold inside my walls so that fix it before expensive repairs are necessary.</t>
        </is>
      </c>
    </row>
    <row r="957">
      <c r="A957" t="n">
        <v>1090</v>
      </c>
      <c r="B957" t="inlineStr">
        <is>
          <t>As a environmentalist I want my television to turn off every 2 hours so that i use less energy.</t>
        </is>
      </c>
    </row>
    <row r="958">
      <c r="A958" t="n">
        <v>1091</v>
      </c>
      <c r="B958" t="inlineStr">
        <is>
          <t>As a movie lover I want my home to suggest movies out loud based on the time of year  so that I don't have to think about what movies to watch.</t>
        </is>
      </c>
    </row>
    <row r="959">
      <c r="A959" t="n">
        <v>1092</v>
      </c>
      <c r="B959" t="inlineStr">
        <is>
          <t>As a person who likes tv I want the tv channel to change with my voice so that I can have entertainment more quickly.</t>
        </is>
      </c>
    </row>
    <row r="960">
      <c r="A960" t="n">
        <v>1093</v>
      </c>
      <c r="B960" t="inlineStr">
        <is>
          <t>As a home occupant I want low-level lighting in the floors and potentially the walls that only turns on as I'm walking through that area at night so that I can avoid crashing into things as well as ruining my sleep by turning bright lights on.</t>
        </is>
      </c>
    </row>
    <row r="961">
      <c r="A961" t="n">
        <v>1094</v>
      </c>
      <c r="B961" t="inlineStr">
        <is>
          <t>As a dog owner I want the doggie door to open at certain times of the day, so that the dogs are able to go outside and get fresh air and go to the bathroom..</t>
        </is>
      </c>
    </row>
    <row r="962">
      <c r="A962" t="n">
        <v>1095</v>
      </c>
      <c r="B962" t="inlineStr">
        <is>
          <t>As a fat person I want my scale to connect to my ipad so that I can track weightloss.</t>
        </is>
      </c>
    </row>
    <row r="963">
      <c r="A963" t="n">
        <v>1096</v>
      </c>
      <c r="B963" t="inlineStr">
        <is>
          <t>As a person who saves energy I want to get an alarm if I accidentally leave my fridge open so that the fridge won't burn out.</t>
        </is>
      </c>
    </row>
    <row r="964">
      <c r="A964" t="n">
        <v>1097</v>
      </c>
      <c r="B964" t="inlineStr">
        <is>
          <t>As a home I want my smoke alarms would beep when the battery gets low. so that my family is safe from fires..</t>
        </is>
      </c>
    </row>
    <row r="965">
      <c r="A965" t="n">
        <v>1098</v>
      </c>
      <c r="B965" t="inlineStr">
        <is>
          <t>As a outdoor enthusiast I want a smart weather device that suggests certain times that would be best for certain activies so that I don't have to wade through every day's weather and try to determine which percentages or precipitation on which days make outings possible..</t>
        </is>
      </c>
    </row>
    <row r="966">
      <c r="A966" t="n">
        <v>1099</v>
      </c>
      <c r="B966" t="inlineStr">
        <is>
          <t>As a disorganized person I want my home to be able to tell me where my electronic devices such as my phone or tv remotes are even when they are powered off so that i can save time not searching for lost things.</t>
        </is>
      </c>
    </row>
    <row r="967">
      <c r="A967" t="n">
        <v>1100</v>
      </c>
      <c r="B967" t="inlineStr">
        <is>
          <t>As a movie lover I want my smart home to react to my voice and play a movie that I request, so that I can enjoy any movie that I want at the moment..</t>
        </is>
      </c>
    </row>
    <row r="968">
      <c r="A968" t="n">
        <v>1101</v>
      </c>
      <c r="B968" t="inlineStr">
        <is>
          <t>As a home owner I want my doors to lock automatically. so that my family is safe.</t>
        </is>
      </c>
    </row>
    <row r="969">
      <c r="A969" t="n">
        <v>1102</v>
      </c>
      <c r="B969" t="inlineStr">
        <is>
          <t>As a person who exercises I want to hear an alarm if I did not exercise that day so that I will be encouraged to exercise.</t>
        </is>
      </c>
    </row>
    <row r="970">
      <c r="A970" t="n">
        <v>1103</v>
      </c>
      <c r="B970" t="inlineStr">
        <is>
          <t>As a busy mother I want my fridge to alert me when I am low on milk and cereal so that my kids will have food.</t>
        </is>
      </c>
    </row>
    <row r="971">
      <c r="A971" t="n">
        <v>1104</v>
      </c>
      <c r="B971" t="inlineStr">
        <is>
          <t>As a person who likes clean air I want a device that analyses the air and lets me know when its not clean so that I always have clean air.</t>
        </is>
      </c>
    </row>
    <row r="972">
      <c r="A972" t="n">
        <v>1105</v>
      </c>
      <c r="B972" t="inlineStr">
        <is>
          <t>As a home owner I want my smart home to react to my voice and DVR a show or shows that I specify, so that I do not miss any episodes of my favorite show..</t>
        </is>
      </c>
    </row>
    <row r="973">
      <c r="A973" t="n">
        <v>1106</v>
      </c>
      <c r="B973" t="inlineStr">
        <is>
          <t>As a home occupant I want a carbon monoxide and smoke monitor that has a display and smart features so that I don't have to deal with old smoke detectors and monitors that I'm not even sure are working properly.</t>
        </is>
      </c>
    </row>
    <row r="974">
      <c r="A974" t="n">
        <v>1107</v>
      </c>
      <c r="B974" t="inlineStr">
        <is>
          <t>As a person who wants to be safe I want an alarm to ring when a gun thats not mine enters the home so that I know if someone tries to rob me.</t>
        </is>
      </c>
    </row>
    <row r="975">
      <c r="A975" t="n">
        <v>1108</v>
      </c>
      <c r="B975" t="inlineStr">
        <is>
          <t>As a professional I want home to wake me up for work so that i can be on time.</t>
        </is>
      </c>
    </row>
    <row r="976">
      <c r="A976" t="n">
        <v>1109</v>
      </c>
      <c r="B976" t="inlineStr">
        <is>
          <t>As a home owner I want my smart home to alert the police if someone is trying to break in, so that my home and valubles are protected..</t>
        </is>
      </c>
    </row>
    <row r="977">
      <c r="A977" t="n">
        <v>1110</v>
      </c>
      <c r="B977" t="inlineStr">
        <is>
          <t>As a home owner I want my smart home to alert the fire department if a fire is detected, so that my home and valubles don't burn down..</t>
        </is>
      </c>
    </row>
    <row r="978">
      <c r="A978" t="n">
        <v>1111</v>
      </c>
      <c r="B978" t="inlineStr">
        <is>
          <t>As a family care taker I want my smart home to detect our foods are 100% organic  so that I can ensure our family health .</t>
        </is>
      </c>
    </row>
    <row r="979">
      <c r="A979" t="n">
        <v>1112</v>
      </c>
      <c r="B979" t="inlineStr">
        <is>
          <t>As a home owner I want my heater to turn on when the temperature gets too low  so that so that my family will stay warm.</t>
        </is>
      </c>
    </row>
    <row r="980">
      <c r="A980" t="n">
        <v>1113</v>
      </c>
      <c r="B980" t="inlineStr">
        <is>
          <t>As a person that loves alcohol I want a warning to let me know if I'm low on liquor so that I never run out.</t>
        </is>
      </c>
    </row>
    <row r="981">
      <c r="A981" t="n">
        <v>1114</v>
      </c>
      <c r="B981" t="inlineStr">
        <is>
          <t>As a home owner I want my outside lights to turn on at night so that intruders stay away.</t>
        </is>
      </c>
    </row>
    <row r="982">
      <c r="A982" t="n">
        <v>1115</v>
      </c>
      <c r="B982" t="inlineStr">
        <is>
          <t>As a family care taker I want My smart home to detect either virus or bacteria's presence in home  so that I can ensure our family health .</t>
        </is>
      </c>
    </row>
    <row r="983">
      <c r="A983" t="n">
        <v>1116</v>
      </c>
      <c r="B983" t="inlineStr">
        <is>
          <t>As a home owner I want my smart house to alert me when I am about to run out of a grocery item, so that I will always have what I need..</t>
        </is>
      </c>
    </row>
    <row r="984">
      <c r="A984" t="n">
        <v>1117</v>
      </c>
      <c r="B984" t="inlineStr">
        <is>
          <t>As a home owner I want my smart house to put the shutters down when a storm is coming, so that my house is protected..</t>
        </is>
      </c>
    </row>
    <row r="985">
      <c r="A985" t="n">
        <v>1118</v>
      </c>
      <c r="B985" t="inlineStr">
        <is>
          <t>As a family care taker I want My smart home to calculate Our walking step inside home individual  so that so that it will motivate to stay as fit.</t>
        </is>
      </c>
    </row>
    <row r="986">
      <c r="A986" t="n">
        <v>1119</v>
      </c>
      <c r="B986" t="inlineStr">
        <is>
          <t>As a home occupant I want My home to detect weapons or harmful materials who is inside the home so that we can ensure our safety .</t>
        </is>
      </c>
    </row>
    <row r="987">
      <c r="A987" t="n">
        <v>1120</v>
      </c>
      <c r="B987" t="inlineStr">
        <is>
          <t>As a home owner I want my smart home to alert me when I have been inactive for too long, so that I can stay healthy..</t>
        </is>
      </c>
    </row>
    <row r="988">
      <c r="A988" t="n">
        <v>1121</v>
      </c>
      <c r="B988" t="inlineStr">
        <is>
          <t>As a home occupant I want My home to calculate calorie intake and burn in possible ways with smartphone so that we can ensure our health and fitness.</t>
        </is>
      </c>
    </row>
    <row r="989">
      <c r="A989" t="n">
        <v>1122</v>
      </c>
      <c r="B989" t="inlineStr">
        <is>
          <t>As a home owner I want my smart home to remind to exercise and track my progress, so that I can get in shape and stay healthy..</t>
        </is>
      </c>
    </row>
    <row r="990">
      <c r="A990" t="n">
        <v>1123</v>
      </c>
      <c r="B990" t="inlineStr">
        <is>
          <t>As a home occupant I want My smart home have to manage energy consumption sensors like if there is no person at particular space then all equipment should go to sleep mode so that we can save energy .</t>
        </is>
      </c>
    </row>
    <row r="991">
      <c r="A991" t="n">
        <v>1124</v>
      </c>
      <c r="B991" t="inlineStr">
        <is>
          <t>As a home owner I want my smart home to activate the Roomba at certain times of the day, so that my home stays clean..</t>
        </is>
      </c>
    </row>
    <row r="992">
      <c r="A992" t="n">
        <v>1125</v>
      </c>
      <c r="B992" t="inlineStr">
        <is>
          <t>As a music lover I want My smart home to track my previous music and interest suggest new arrivals which is slimier to my interest  so that I can enjoy it.</t>
        </is>
      </c>
    </row>
    <row r="993">
      <c r="A993" t="n">
        <v>1126</v>
      </c>
      <c r="B993" t="inlineStr">
        <is>
          <t>As a family care taker I want My home to detect carbon emission from my refrigerator,mobile radiation level,or there is any other radioactive particle inside home which is more than normal suggested level so that we can ensure our health and safety .</t>
        </is>
      </c>
    </row>
    <row r="994">
      <c r="A994" t="n">
        <v>1127</v>
      </c>
      <c r="B994" t="inlineStr">
        <is>
          <t>As a parent I want My home to track small kids activity and alarm us when they fall down something like that so that take care of them.</t>
        </is>
      </c>
    </row>
    <row r="995">
      <c r="A995" t="n">
        <v>1128</v>
      </c>
      <c r="B995" t="inlineStr">
        <is>
          <t>As a home occupant I want My smart home to track time based activity and prepare regarding for that.For example for three days after walking up if i turn on water heater fourth day it should turn on when I wake up like that so that I can improve life quality .</t>
        </is>
      </c>
    </row>
    <row r="996">
      <c r="A996" t="n">
        <v>1129</v>
      </c>
      <c r="B996" t="inlineStr">
        <is>
          <t>As a parent I want to be alerted when an exterior door opens so that I can be aware when one of my children exits the home..</t>
        </is>
      </c>
    </row>
    <row r="997">
      <c r="A997" t="n">
        <v>1130</v>
      </c>
      <c r="B997" t="inlineStr">
        <is>
          <t>As a home owner I want an alarm to sound if a TV is still powered on after leaving the house so that we can conserve energy..</t>
        </is>
      </c>
    </row>
    <row r="998">
      <c r="A998" t="n">
        <v>1131</v>
      </c>
      <c r="B998" t="inlineStr">
        <is>
          <t>As a home owner I want an alarm to sound if the garage door is left open after a car enters/exits so that we can keep home safe.</t>
        </is>
      </c>
    </row>
    <row r="999">
      <c r="A999" t="n">
        <v>1132</v>
      </c>
      <c r="B999" t="inlineStr">
        <is>
          <t>As a parent I want relaxing music to play at night so that my children can go to sleep easier.</t>
        </is>
      </c>
    </row>
    <row r="1000">
      <c r="A1000" t="n">
        <v>1133</v>
      </c>
      <c r="B1000" t="inlineStr">
        <is>
          <t>As a home owner I want an alarm when someone comes into our driveway so that we can be aware when someone is at our home.</t>
        </is>
      </c>
    </row>
    <row r="1001">
      <c r="A1001" t="n">
        <v>1134</v>
      </c>
      <c r="B1001" t="inlineStr">
        <is>
          <t>As a pet owner I want notification when dogs are sitting at door waiting to go outside so that accidents are reduced because I can let them out when they need to go..</t>
        </is>
      </c>
    </row>
    <row r="1002">
      <c r="A1002" t="n">
        <v>1135</v>
      </c>
      <c r="B1002" t="inlineStr">
        <is>
          <t>As a home occupant I want notification when water collecting in basement so that I can be aware of flooding.</t>
        </is>
      </c>
    </row>
    <row r="1003">
      <c r="A1003" t="n">
        <v>1136</v>
      </c>
      <c r="B1003" t="inlineStr">
        <is>
          <t>As a home occupant I want lights to gradually come on in the morning so that I can awaken to natural light.</t>
        </is>
      </c>
    </row>
    <row r="1004">
      <c r="A1004" t="n">
        <v>1137</v>
      </c>
      <c r="B1004" t="inlineStr">
        <is>
          <t>As a parent I want an alarm when toilet is close to overflowing so that I can turn off water before overflow.</t>
        </is>
      </c>
    </row>
    <row r="1005">
      <c r="A1005" t="n">
        <v>1138</v>
      </c>
      <c r="B1005" t="inlineStr">
        <is>
          <t>As a parent I want alarm when computers are connected after bedtime so that kids dont sneak on after bedtime.</t>
        </is>
      </c>
    </row>
    <row r="1006">
      <c r="A1006" t="n">
        <v>1139</v>
      </c>
      <c r="B1006" t="inlineStr">
        <is>
          <t>As a parent I want all appliances to turn off when people leave the room  so that the house wont burn down to the ground.</t>
        </is>
      </c>
    </row>
    <row r="1007">
      <c r="A1007" t="n">
        <v>1140</v>
      </c>
      <c r="B1007" t="inlineStr">
        <is>
          <t>As a parent I want carbon dioxide detector  so that we wont die in our sleep or wont get harmed .</t>
        </is>
      </c>
    </row>
    <row r="1008">
      <c r="A1008" t="n">
        <v>1141</v>
      </c>
      <c r="B1008" t="inlineStr">
        <is>
          <t>As a parent I want auto shut down feature for everything when we leave the home  so that we save  money on energy .</t>
        </is>
      </c>
    </row>
    <row r="1009">
      <c r="A1009" t="n">
        <v>1142</v>
      </c>
      <c r="B1009" t="inlineStr">
        <is>
          <t>As a parent I want the main living room tv to turn on at specific times when i get home  so that so that i can relax after work .</t>
        </is>
      </c>
    </row>
    <row r="1010">
      <c r="A1010" t="n">
        <v>1143</v>
      </c>
      <c r="B1010" t="inlineStr">
        <is>
          <t>As a parent I want auto turn off feature for stove if left on too long  so that that the house does not burn down .</t>
        </is>
      </c>
    </row>
    <row r="1011">
      <c r="A1011" t="n">
        <v>1144</v>
      </c>
      <c r="B1011" t="inlineStr">
        <is>
          <t>As a parent I want an auto food fill for the dogs  so that incase i forgot so they get optimal health .</t>
        </is>
      </c>
    </row>
    <row r="1012">
      <c r="A1012" t="n">
        <v>1145</v>
      </c>
      <c r="B1012" t="inlineStr">
        <is>
          <t>As a home owner I want A bill reminder  so that that i can pay my bills on time.</t>
        </is>
      </c>
    </row>
    <row r="1013">
      <c r="A1013" t="n">
        <v>1146</v>
      </c>
      <c r="B1013" t="inlineStr">
        <is>
          <t>As a parent I want an auto feature that will remind me to change water sofner  so that so that we dont ever go without warm water.</t>
        </is>
      </c>
    </row>
    <row r="1014">
      <c r="A1014" t="n">
        <v>1147</v>
      </c>
      <c r="B1014" t="inlineStr">
        <is>
          <t>As a pet owner I want my phone to tell me when someones within yards of my front door  so that that i know when people show up .</t>
        </is>
      </c>
    </row>
    <row r="1015">
      <c r="A1015" t="n">
        <v>1148</v>
      </c>
      <c r="B1015" t="inlineStr">
        <is>
          <t>As a home owner I want alert me when I am about to run out of medication so that so that i am up to date.</t>
        </is>
      </c>
    </row>
    <row r="1016">
      <c r="A1016" t="n">
        <v>1149</v>
      </c>
      <c r="B1016" t="inlineStr">
        <is>
          <t>As a pet owner I want to be notified when my dog makes a mess so that  so it can be cleaned quickly..</t>
        </is>
      </c>
    </row>
    <row r="1017">
      <c r="A1017" t="n">
        <v>1150</v>
      </c>
      <c r="B1017" t="inlineStr">
        <is>
          <t>As a parent I want a timer on all electronics so that I can limit time spent on gadgets and tv watching..</t>
        </is>
      </c>
    </row>
    <row r="1018">
      <c r="A1018" t="n">
        <v>1151</v>
      </c>
      <c r="B1018" t="inlineStr">
        <is>
          <t>As a home occupant I want a freezer that adjusts temperature based on room temperature so that it can sometimes work less to save more energy if the room temp is cooler at times..</t>
        </is>
      </c>
    </row>
    <row r="1019">
      <c r="A1019" t="n">
        <v>1152</v>
      </c>
      <c r="B1019" t="inlineStr">
        <is>
          <t>As a parent I want automatic soap dispensers that alert you when someone uses the sink but forgets soap so that it can remind you and keep you cleaner.</t>
        </is>
      </c>
    </row>
    <row r="1020">
      <c r="A1020" t="n">
        <v>1153</v>
      </c>
      <c r="B1020" t="inlineStr">
        <is>
          <t>As a home occupant I want plants that water themselves with a gadget when they detect water is needed so that I can not worry about killing the plant by forgetting to water it..</t>
        </is>
      </c>
    </row>
    <row r="1021">
      <c r="A1021" t="n">
        <v>1154</v>
      </c>
      <c r="B1021" t="inlineStr">
        <is>
          <t>As a pet owner I want an alarm to alert me when my dog's bowl needs cleaning so that I don't forget to disinfect it now and then..</t>
        </is>
      </c>
    </row>
    <row r="1022">
      <c r="A1022" t="n">
        <v>1155</v>
      </c>
      <c r="B1022" t="inlineStr">
        <is>
          <t>As a home occupant I want lightly heated windows  so that they do not become frosty and hard to see through in the winter.</t>
        </is>
      </c>
    </row>
    <row r="1023">
      <c r="A1023" t="n">
        <v>1156</v>
      </c>
      <c r="B1023" t="inlineStr">
        <is>
          <t>As a home occupant I want my smart home to start laundry after it senses a full load of clothes.  so that I can save time and manage my water use efficiently. .</t>
        </is>
      </c>
    </row>
    <row r="1024">
      <c r="A1024" t="n">
        <v>1157</v>
      </c>
      <c r="B1024" t="inlineStr">
        <is>
          <t>As a home occupant I want automatic dehumidifier systems in all rooms so that excess moisture is removed from the air without requiring extra appliances..</t>
        </is>
      </c>
    </row>
    <row r="1025">
      <c r="A1025" t="n">
        <v>1158</v>
      </c>
      <c r="B1025" t="inlineStr">
        <is>
          <t>As a home occupant I want light sensors that turn off after 3 minutes of not detecting someone in the room so that it can save energy and money.</t>
        </is>
      </c>
    </row>
    <row r="1026">
      <c r="A1026" t="n">
        <v>1159</v>
      </c>
      <c r="B1026" t="inlineStr">
        <is>
          <t>As a home occupant I want alarm systems on doors to alert me if a door is unlocked after 9pm so it can remind me to lock it so that I feel safe and burglars do not have an easy way in based on my mistake..</t>
        </is>
      </c>
    </row>
    <row r="1027">
      <c r="A1027" t="n">
        <v>1160</v>
      </c>
      <c r="B1027" t="inlineStr">
        <is>
          <t>As a home occupant I want my smart home to use facial regongnition when unidentified people are on my property, so that my family is safe and they can be properly identified. .</t>
        </is>
      </c>
    </row>
    <row r="1028">
      <c r="A1028" t="n">
        <v>1161</v>
      </c>
      <c r="B1028" t="inlineStr">
        <is>
          <t>As a home occupant I want my smart home to be able to control all devices with one remote/phone, so that I save time and no longer have to look for a lost remote. .</t>
        </is>
      </c>
    </row>
    <row r="1029">
      <c r="A1029" t="n">
        <v>1162</v>
      </c>
      <c r="B1029" t="inlineStr">
        <is>
          <t>As a home occupant I want my smart home to be able to adjust lighting in my home no matter where I am, so that I can save money and energy..</t>
        </is>
      </c>
    </row>
    <row r="1030">
      <c r="A1030" t="n">
        <v>1163</v>
      </c>
      <c r="B1030" t="inlineStr">
        <is>
          <t>As a home owner I want my smart home to be able to vacuum the carpets when noticing debris.  so that I can keep my home clean and tidy. .</t>
        </is>
      </c>
    </row>
    <row r="1031">
      <c r="A1031" t="n">
        <v>1164</v>
      </c>
      <c r="B1031" t="inlineStr">
        <is>
          <t>As a home owner I want my smart home to water my indoor plants when they become dry,  so that my plants do not die, and I save a little bit of time. .</t>
        </is>
      </c>
    </row>
    <row r="1032">
      <c r="A1032" t="n">
        <v>1165</v>
      </c>
      <c r="B1032" t="inlineStr">
        <is>
          <t>As a home occupant I want my smart home to be able to contact me from an intercom on my cell phone when I am not home,  so that I can keep in touch with my family when I am away. .</t>
        </is>
      </c>
    </row>
    <row r="1033">
      <c r="A1033" t="n">
        <v>1166</v>
      </c>
      <c r="B1033" t="inlineStr">
        <is>
          <t>As a home owner I want my smart home to adjust my blinds when it gets light or dark, so that I do not have to do it, or waste energy when its light out. .</t>
        </is>
      </c>
    </row>
    <row r="1034">
      <c r="A1034" t="n">
        <v>1167</v>
      </c>
      <c r="B1034" t="inlineStr">
        <is>
          <t>As a home owner I want my smart home to heat the oven so that I can throw dinner in on my way home. .</t>
        </is>
      </c>
    </row>
    <row r="1035">
      <c r="A1035" t="n">
        <v>1168</v>
      </c>
      <c r="B1035" t="inlineStr">
        <is>
          <t>As a home occupant I want my smart home to run a bath tub at optimal temperature  so that it is ready for me after a hard day of work. .</t>
        </is>
      </c>
    </row>
    <row r="1036">
      <c r="A1036" t="n">
        <v>1169</v>
      </c>
      <c r="B1036" t="inlineStr">
        <is>
          <t>As a home owner I want voice-activated cooking system so that I can do multiple things quickly and efficiently.</t>
        </is>
      </c>
    </row>
    <row r="1037">
      <c r="A1037" t="n">
        <v>1170</v>
      </c>
      <c r="B1037" t="inlineStr">
        <is>
          <t>As a home owner I want voice activated light switch so that I dont have to get up to do it.</t>
        </is>
      </c>
    </row>
    <row r="1038">
      <c r="A1038" t="n">
        <v>1171</v>
      </c>
      <c r="B1038" t="inlineStr">
        <is>
          <t>As a home owner I want a sound system for every room so that everyone can listen to music.</t>
        </is>
      </c>
    </row>
    <row r="1039">
      <c r="A1039" t="n">
        <v>1172</v>
      </c>
      <c r="B1039" t="inlineStr">
        <is>
          <t>As a home owner I want a household alarm clock so that we can all wake up at the appropriate time.</t>
        </is>
      </c>
    </row>
    <row r="1040">
      <c r="A1040" t="n">
        <v>1173</v>
      </c>
      <c r="B1040" t="inlineStr">
        <is>
          <t>As a home owner I want a solar panel so that energy is saved.</t>
        </is>
      </c>
    </row>
    <row r="1041">
      <c r="A1041" t="n">
        <v>1174</v>
      </c>
      <c r="B1041" t="inlineStr">
        <is>
          <t>As a home owner I want a burglar alarm system so that we can be alerted if robbed.</t>
        </is>
      </c>
    </row>
    <row r="1042">
      <c r="A1042" t="n">
        <v>1175</v>
      </c>
      <c r="B1042" t="inlineStr">
        <is>
          <t>As a parent I want cameras in my child's room so that they can be safely monitored.</t>
        </is>
      </c>
    </row>
    <row r="1043">
      <c r="A1043" t="n">
        <v>1176</v>
      </c>
      <c r="B1043" t="inlineStr">
        <is>
          <t>As a home owner I want a fitness center so that my family can be healthy from home.</t>
        </is>
      </c>
    </row>
    <row r="1044">
      <c r="A1044" t="n">
        <v>1177</v>
      </c>
      <c r="B1044" t="inlineStr">
        <is>
          <t>As a home owner I want a self cleaning house so that everything stays neat and clean.</t>
        </is>
      </c>
    </row>
    <row r="1045">
      <c r="A1045" t="n">
        <v>1178</v>
      </c>
      <c r="B1045" t="inlineStr">
        <is>
          <t>As a home owner I want an automatic temperature regulator so that the house can be the perfect temperature at all times.</t>
        </is>
      </c>
    </row>
    <row r="1046">
      <c r="A1046" t="n">
        <v>1179</v>
      </c>
      <c r="B1046" t="inlineStr">
        <is>
          <t>As a cook I want my oven to be preheated when I get home so that dinner will be ready 10 minutes earlier.</t>
        </is>
      </c>
    </row>
    <row r="1047">
      <c r="A1047" t="n">
        <v>1180</v>
      </c>
      <c r="B1047" t="inlineStr">
        <is>
          <t>As a controller I want my smart home to know when it has rained the last few days and not run my sprinklers so that I don't waste water.</t>
        </is>
      </c>
    </row>
    <row r="1048">
      <c r="A1048" t="n">
        <v>1181</v>
      </c>
      <c r="B1048" t="inlineStr">
        <is>
          <t>As a controller I want my furnace to change filters automatically (have a storage of 6 in it and rotates through those every month) so that the furnace filter gets changed.</t>
        </is>
      </c>
    </row>
    <row r="1049">
      <c r="A1049" t="n">
        <v>1182</v>
      </c>
      <c r="B1049" t="inlineStr">
        <is>
          <t>As a controller I want my house to integrate to my phone and tell me when I need to service or repair something so that repairs don't get more costly or do damage.</t>
        </is>
      </c>
    </row>
    <row r="1050">
      <c r="A1050" t="n">
        <v>1183</v>
      </c>
      <c r="B1050" t="inlineStr">
        <is>
          <t>As a entertainer I want music everywhere in the house where guests are so that guests can enjoy the music at a party.</t>
        </is>
      </c>
    </row>
    <row r="1051">
      <c r="A1051" t="n">
        <v>1184</v>
      </c>
      <c r="B1051" t="inlineStr">
        <is>
          <t>As a home occupant I want a notification when water level is low on my hot tub so that I can fill it up before it turns off.</t>
        </is>
      </c>
    </row>
    <row r="1052">
      <c r="A1052" t="n">
        <v>1185</v>
      </c>
      <c r="B1052" t="inlineStr">
        <is>
          <t>As a home occupant I want notification when running low on certain food items so that I never run out of things like mile.</t>
        </is>
      </c>
    </row>
    <row r="1053">
      <c r="A1053" t="n">
        <v>1186</v>
      </c>
      <c r="B1053" t="inlineStr">
        <is>
          <t>As a home occupant I want my coffee maker to automatically perpare itself for the next mornign with water and coffee so that coffee is always reading in the mornign.</t>
        </is>
      </c>
    </row>
    <row r="1054">
      <c r="A1054" t="n">
        <v>1187</v>
      </c>
      <c r="B1054" t="inlineStr">
        <is>
          <t>As a pet owner I want the dog to be fed on time every day automatically so that the dog stays on schedule.</t>
        </is>
      </c>
    </row>
    <row r="1055">
      <c r="A1055" t="n">
        <v>1188</v>
      </c>
      <c r="B1055" t="inlineStr">
        <is>
          <t>As a pet owner I want the door to automatically open if the dog is at the door so that The dog can be let in automatically.</t>
        </is>
      </c>
    </row>
    <row r="1056">
      <c r="A1056" t="n">
        <v>1189</v>
      </c>
      <c r="B1056" t="inlineStr">
        <is>
          <t>As a parent I want an alarm when the fridge door is left open for a long period of time, so that the food does not spoil..</t>
        </is>
      </c>
    </row>
    <row r="1057">
      <c r="A1057" t="n">
        <v>1190</v>
      </c>
      <c r="B1057" t="inlineStr">
        <is>
          <t>As a home owner I want my outside home video cameras to turn on when the motion light is activated so that I can capture whatever is making the lights turn on..</t>
        </is>
      </c>
    </row>
    <row r="1058">
      <c r="A1058" t="n">
        <v>1191</v>
      </c>
      <c r="B1058" t="inlineStr">
        <is>
          <t>As a car owner I want my car to send an alert to my smartphone if I forget to lock it so that I will prevent breakins..</t>
        </is>
      </c>
    </row>
    <row r="1059">
      <c r="A1059" t="n">
        <v>1192</v>
      </c>
      <c r="B1059" t="inlineStr">
        <is>
          <t>As a mother I want a nightlight that I can turn off with my smartphone after my child is asleep so that I don't wake them up and it does not stay on all night..</t>
        </is>
      </c>
    </row>
    <row r="1060">
      <c r="A1060" t="n">
        <v>1193</v>
      </c>
      <c r="B1060" t="inlineStr">
        <is>
          <t>As a person who has to wake up early I want a TV that turns on at a specific time, to a specific channel, at a specific volume  so that I wake up watching exactly what I want..</t>
        </is>
      </c>
    </row>
    <row r="1061">
      <c r="A1061" t="n">
        <v>1194</v>
      </c>
      <c r="B1061" t="inlineStr">
        <is>
          <t>As a coffee drinker I want a coffee maker that I can start from my smartphone so that I can get my coffee started without getting out of bed..</t>
        </is>
      </c>
    </row>
    <row r="1062">
      <c r="A1062" t="n">
        <v>1195</v>
      </c>
      <c r="B1062" t="inlineStr">
        <is>
          <t>As a home owner I want Voice Recognition at all doors, programmable for multiple users. If dog barks are different enough, if the software exists to tell them apart, I'd program it so my dog could get in &amp; out to the back yard when nobody's home. so that Family and trusted friends can enter without needing to use keys.  (Yes, I know this directly takes off one of your examples, but retina scans are 1) invasive, 2) fakeable, with the printed contacts available these days. Voice recognition, with proper software? Not so much.).</t>
        </is>
      </c>
    </row>
    <row r="1063">
      <c r="A1063" t="n">
        <v>1196</v>
      </c>
      <c r="B1063" t="inlineStr">
        <is>
          <t>As a parent I want a feature to alert me when the fence gate has been opened so that I know that the children and pets are still in the yard..</t>
        </is>
      </c>
    </row>
    <row r="1064">
      <c r="A1064" t="n">
        <v>1197</v>
      </c>
      <c r="B1064" t="inlineStr">
        <is>
          <t>As a worker I want an alert on my TV when I receive an email from my boss so that I can be as responsive as possible..</t>
        </is>
      </c>
    </row>
    <row r="1065">
      <c r="A1065" t="n">
        <v>1198</v>
      </c>
      <c r="B1065" t="inlineStr">
        <is>
          <t>As a home owner I want a garage door that will shut itself if it is open after a specified time so that people cannot enter the garage because I forgot to close it..</t>
        </is>
      </c>
    </row>
    <row r="1066">
      <c r="A1066" t="n">
        <v>1199</v>
      </c>
      <c r="B1066" t="inlineStr">
        <is>
          <t>As a parent I want a way to remotely enable and disable electronic devices for my children to use so that I can tightly control their use even when we are not together..</t>
        </is>
      </c>
    </row>
    <row r="1067">
      <c r="A1067" t="n">
        <v>1200</v>
      </c>
      <c r="B1067" t="inlineStr">
        <is>
          <t>As a home owner I want Full interactive voice recognition throughout the home (think SARAH from Eureka) and linked to my phone so that all other features can be controlled by voice command whether I am at home or away..</t>
        </is>
      </c>
    </row>
    <row r="1068">
      <c r="A1068" t="n">
        <v>1201</v>
      </c>
      <c r="B1068" t="inlineStr">
        <is>
          <t>As a parent I want Carpet that absorbs and self-cleans spills and crumbs after a set time, and tile/hardwood floors (kitchen, bath, basement, etc) that self-clean at night (a variable static charge to move loose particles to a garbage recepticle, &amp; targeted stain removal). so that I don't have to vacuum, steam the rug, sweep, or mop..</t>
        </is>
      </c>
    </row>
    <row r="1069">
      <c r="A1069" t="n">
        <v>1202</v>
      </c>
      <c r="B1069" t="inlineStr">
        <is>
          <t>As a parent I want Fully automated laundry system. Hampers in each bedroom which move clothing to a sorting area via conduits inside the walls. Must be able to sort by color, fabric type, washing instructions. Once a full load is available, it moves automatically to the washer, which senses the clothing and applies the correct settings automatically. When clean, clothing moves automatically to the dryer, again sensing and applying appropriate settings. Folding still seems like something that needs a human touch to me, but the system could be programmed to identify which clothing belongs to each family member and sort accordingly so that only folding and putting away remains for human hands. System could also be optimized to get clothes clean with a minimal use of water and laundry soap. so that I don't have to do laundry. I seriously hate laundry. Also conserves water and energy and eliminates wastage on laundry soap..</t>
        </is>
      </c>
    </row>
    <row r="1070">
      <c r="A1070" t="n">
        <v>1203</v>
      </c>
      <c r="B1070" t="inlineStr">
        <is>
          <t>As a parent I want Facial recognition/other identifier on the INSIDE of doors so that children (preprogrammed individuals) can't open the door without an adult present (unless it's the police!).</t>
        </is>
      </c>
    </row>
    <row r="1071">
      <c r="A1071" t="n">
        <v>1204</v>
      </c>
      <c r="B1071" t="inlineStr">
        <is>
          <t>As a parent I want Integrated refrigerator, freezer, deep freezer, kitchen cupboards, and pantry storage, which sense and recognize contents, usage, and automatically generate a shopping list at programmed intervals or on demand. Programmable up to a month in advance with menu ideas, recipes, etc, and includes needed ingredients in the shopping list. so that meal planning and grocery shopping can be more streamlined.</t>
        </is>
      </c>
    </row>
    <row r="1072">
      <c r="A1072" t="n">
        <v>1205</v>
      </c>
      <c r="B1072" t="inlineStr">
        <is>
          <t>As a self-employed baker/chef I want Voice-interaction software on stove, oven, and food processors, so that I can automate baking/cooking times, set alerts to turn/check/take out/etc. System should recognize various states of "done-ness" and automatically shut off/open to prevent overcooking. so that I can streamline my baking/cooking, both for sale and family..</t>
        </is>
      </c>
    </row>
    <row r="1073">
      <c r="A1073" t="n">
        <v>1206</v>
      </c>
      <c r="B1073" t="inlineStr">
        <is>
          <t>As a overweight person I want Software integrated through the refrigerator, all cooking appliances, any and all exercise equipment, and my bike &amp; Fitbit, to fully track all calories consumed, burned, muscle development, hydration, and other factors relating to health and weight loss. Reminders to take daily vitamins &amp; supplements. so that My house can help me lose weight and improve my strength and stamina.</t>
        </is>
      </c>
    </row>
    <row r="1074">
      <c r="A1074" t="n">
        <v>1207</v>
      </c>
      <c r="B1074" t="inlineStr">
        <is>
          <t>As a musician I want Adaptable sound insulation around my music room, but the room doesn't sound "dead" like you get with traditional sound insulation. so that so that I can play my instruments and sing at any time without waking family, .</t>
        </is>
      </c>
    </row>
    <row r="1075">
      <c r="A1075" t="n">
        <v>1208</v>
      </c>
      <c r="B1075" t="inlineStr">
        <is>
          <t>As a parent I want On demand fully interactive and learning medical information, sensors to recognize and alert to fevers, injury, infection, other abnormalities in all family members. Ability to contact doctors' offices through the house system, have the house send the report of a person's condition, and the doctor can then either prescribe needed medication, or talk to me to set an appointment. so that if my paramedic husband is not home, I have better information on hand to decide if my child needs to go to the ER at 3am..</t>
        </is>
      </c>
    </row>
    <row r="1076">
      <c r="A1076" t="n">
        <v>1209</v>
      </c>
      <c r="B1076" t="inlineStr">
        <is>
          <t>As a meat sale buyer I want to be alerted when my freezer malfunctions so that I will not have any spoiled meat.</t>
        </is>
      </c>
    </row>
    <row r="1077">
      <c r="A1077" t="n">
        <v>1210</v>
      </c>
      <c r="B1077" t="inlineStr">
        <is>
          <t>As a responsible mother I want to be alerted when the cabinet locks on my cabinet doors are broken or opened so that I know my child is safe.</t>
        </is>
      </c>
    </row>
    <row r="1078">
      <c r="A1078" t="n">
        <v>1211</v>
      </c>
      <c r="B1078" t="inlineStr">
        <is>
          <t>As a renter I want to be alerted when I have a malfunction in any of my appliances so that I can alert my landlord as soon as possible.</t>
        </is>
      </c>
    </row>
    <row r="1079">
      <c r="A1079" t="n">
        <v>1212</v>
      </c>
      <c r="B1079" t="inlineStr">
        <is>
          <t>As a computer user I want to be alerted when my computer has been breached when I am not around it so that I can keep my information safe.</t>
        </is>
      </c>
    </row>
    <row r="1080">
      <c r="A1080" t="n">
        <v>1213</v>
      </c>
      <c r="B1080" t="inlineStr">
        <is>
          <t>As a home occupant I want my thermostats to automatically know when I want the home cooler or warmer so that I am always comfortable.</t>
        </is>
      </c>
    </row>
    <row r="1081">
      <c r="A1081" t="n">
        <v>1214</v>
      </c>
      <c r="B1081" t="inlineStr">
        <is>
          <t>As a tea drinker I want my stove to automatically start up when I push a button and heat water I have set on the stove so that I can do other things while my water is boiling.</t>
        </is>
      </c>
    </row>
    <row r="1082">
      <c r="A1082" t="n">
        <v>1215</v>
      </c>
      <c r="B1082" t="inlineStr">
        <is>
          <t>As a cleanly person I want automatic window cleaners so that I do not need to spend hours cleaning them.</t>
        </is>
      </c>
    </row>
    <row r="1083">
      <c r="A1083" t="n">
        <v>1216</v>
      </c>
      <c r="B1083" t="inlineStr">
        <is>
          <t>As a "green" person I want a shower that tells me when I have over exceeded the time limit of five minutes (or whatever I set) so that I can conserve water.</t>
        </is>
      </c>
    </row>
    <row r="1084">
      <c r="A1084" t="n">
        <v>1217</v>
      </c>
      <c r="B1084" t="inlineStr">
        <is>
          <t>As a safety conscious person I want gas detectors so that any appliance using gas turns off if there is a leak.</t>
        </is>
      </c>
    </row>
    <row r="1085">
      <c r="A1085" t="n">
        <v>1218</v>
      </c>
      <c r="B1085" t="inlineStr">
        <is>
          <t>As a car driver I want a smart garage so that I can open my garage doors more quickly before being all the way home.</t>
        </is>
      </c>
    </row>
    <row r="1086">
      <c r="A1086" t="n">
        <v>1219</v>
      </c>
      <c r="B1086" t="inlineStr">
        <is>
          <t>As a home occupant I want my water in the shower to shut off after 10 minutes so that I can conserve water.</t>
        </is>
      </c>
    </row>
    <row r="1087">
      <c r="A1087" t="n">
        <v>1220</v>
      </c>
      <c r="B1087" t="inlineStr">
        <is>
          <t>As a parent I want an alarm to go off if my child gets within 5 feet of the pool so that my child will not fall in when playing outside unattended.</t>
        </is>
      </c>
    </row>
    <row r="1088">
      <c r="A1088" t="n">
        <v>1221</v>
      </c>
      <c r="B1088" t="inlineStr">
        <is>
          <t>As a home occupant I want a self cleaning toilet so that I don't have to clean the toilet.</t>
        </is>
      </c>
    </row>
    <row r="1089">
      <c r="A1089" t="n">
        <v>1222</v>
      </c>
      <c r="B1089" t="inlineStr">
        <is>
          <t>As a home occupant I want my house to turn off interior Christmas lights when I leave the house so that I can save energy.</t>
        </is>
      </c>
    </row>
    <row r="1090">
      <c r="A1090" t="n">
        <v>1223</v>
      </c>
      <c r="B1090" t="inlineStr">
        <is>
          <t>As a home occupant I want to be able to project an image from my tv screen onto the wall so that I can feel like I'm at the movies.</t>
        </is>
      </c>
    </row>
    <row r="1091">
      <c r="A1091" t="n">
        <v>1224</v>
      </c>
      <c r="B1091" t="inlineStr">
        <is>
          <t>As a home occupant I want to lock/unlock my door by fingerprint touchscreen so that I don't get locked out of the house and it is harder to break in.</t>
        </is>
      </c>
    </row>
    <row r="1092">
      <c r="A1092" t="n">
        <v>1225</v>
      </c>
      <c r="B1092" t="inlineStr">
        <is>
          <t>As a home occupant I want an alarm to go off when my dog stands by the door for more than 5 seconds so that I can avoid accidents.</t>
        </is>
      </c>
    </row>
    <row r="1093">
      <c r="A1093" t="n">
        <v>1226</v>
      </c>
      <c r="B1093" t="inlineStr">
        <is>
          <t>As a parent I want my baby's room to play soothing music whenever it starts crying so that the baby will calm down.</t>
        </is>
      </c>
    </row>
    <row r="1094">
      <c r="A1094" t="n">
        <v>1227</v>
      </c>
      <c r="B1094" t="inlineStr">
        <is>
          <t>As a home occupant I want to be able to control a dividing wall in large living spaces so that if I'm doing one thing and the rest of the family is doing something else I won't bother them.</t>
        </is>
      </c>
    </row>
    <row r="1095">
      <c r="A1095" t="n">
        <v>1228</v>
      </c>
      <c r="B1095" t="inlineStr">
        <is>
          <t>As a home occupant I want my house to detect if there is mold in the walls so that the mold does not damage the house or my family's health.</t>
        </is>
      </c>
    </row>
    <row r="1096">
      <c r="A1096" t="n">
        <v>1231</v>
      </c>
      <c r="B1096" t="inlineStr">
        <is>
          <t>As a virtual assistant I want it control my computer so that mkae things easier.</t>
        </is>
      </c>
    </row>
    <row r="1097">
      <c r="A1097" t="n">
        <v>1233</v>
      </c>
      <c r="B1097" t="inlineStr">
        <is>
          <t>As a dog sitter I want dog collar control so that easier for me to control dogs..</t>
        </is>
      </c>
    </row>
    <row r="1098">
      <c r="A1098" t="n">
        <v>1236</v>
      </c>
      <c r="B1098" t="inlineStr">
        <is>
          <t>As a lawn mower I want to control sprinklers so that wont get wet.</t>
        </is>
      </c>
    </row>
    <row r="1099">
      <c r="A1099" t="n">
        <v>1237</v>
      </c>
      <c r="B1099" t="inlineStr">
        <is>
          <t>As a parent I want to have electrical outlets completely turn off when not in use so that children won't get shocked by them if they stick something in them.</t>
        </is>
      </c>
    </row>
    <row r="1100">
      <c r="A1100" t="n">
        <v>1238</v>
      </c>
      <c r="B1100" t="inlineStr">
        <is>
          <t>As a enthusiast I want A hand scanner that will unlock my door.  so that No one can get it but me..</t>
        </is>
      </c>
    </row>
    <row r="1101">
      <c r="A1101" t="n">
        <v>1239</v>
      </c>
      <c r="B1101" t="inlineStr">
        <is>
          <t>As a a mother I want remind about homework so that so i dont forget.</t>
        </is>
      </c>
    </row>
    <row r="1102">
      <c r="A1102" t="n">
        <v>1240</v>
      </c>
      <c r="B1102" t="inlineStr">
        <is>
          <t>As a bath taker I want set temp just right so that good bath.</t>
        </is>
      </c>
    </row>
    <row r="1103">
      <c r="A1103" t="n">
        <v>1241</v>
      </c>
      <c r="B1103" t="inlineStr">
        <is>
          <t>As a music listener I want My smart house to detect any music on my phone and play it accordingly. so that My guests can be entertained.</t>
        </is>
      </c>
    </row>
    <row r="1104">
      <c r="A1104" t="n">
        <v>1242</v>
      </c>
      <c r="B1104" t="inlineStr">
        <is>
          <t>As a game tester I want remind to play games so that help with work.</t>
        </is>
      </c>
    </row>
    <row r="1105">
      <c r="A1105" t="n">
        <v>1243</v>
      </c>
      <c r="B1105" t="inlineStr">
        <is>
          <t>As a professional chef I want set oven for specific food so that good food.</t>
        </is>
      </c>
    </row>
    <row r="1106">
      <c r="A1106" t="n">
        <v>1244</v>
      </c>
      <c r="B1106" t="inlineStr">
        <is>
          <t>As a coffee enthusiast I want coffee right temp so that good coffee.</t>
        </is>
      </c>
    </row>
    <row r="1107">
      <c r="A1107" t="n">
        <v>1245</v>
      </c>
      <c r="B1107" t="inlineStr">
        <is>
          <t>As a telephone operator I want answer phone so that use hands less.</t>
        </is>
      </c>
    </row>
    <row r="1108">
      <c r="A1108" t="n">
        <v>1246</v>
      </c>
      <c r="B1108" t="inlineStr">
        <is>
          <t>As a home occupant I want My security cameras to be in sync with any movement outside and to beep to alert me. so that I know if there is anything on my property..</t>
        </is>
      </c>
    </row>
    <row r="1109">
      <c r="A1109" t="n">
        <v>1247</v>
      </c>
      <c r="B1109" t="inlineStr">
        <is>
          <t>As a greenie I want Solar pannels that are controlled by my network within the house. so that They can tilt remotely to get the best angle for the sun to charge my batteries..</t>
        </is>
      </c>
    </row>
    <row r="1110">
      <c r="A1110" t="n">
        <v>1248</v>
      </c>
      <c r="B1110" t="inlineStr">
        <is>
          <t>As a pet owner I want the litter box to self clean every other day so that I don't have to clean it myself.</t>
        </is>
      </c>
    </row>
    <row r="1111">
      <c r="A1111" t="n">
        <v>1249</v>
      </c>
      <c r="B1111" t="inlineStr">
        <is>
          <t>As a home occupant I want They doors and windows to automatically lock at certain times. so that The house will be secure..</t>
        </is>
      </c>
    </row>
    <row r="1112">
      <c r="A1112" t="n">
        <v>1250</v>
      </c>
      <c r="B1112" t="inlineStr">
        <is>
          <t>As a home occupant I want the thermostat to regulate temperature independently based on if people are in the house or not so that it would save energy and keep people comfortable.</t>
        </is>
      </c>
    </row>
    <row r="1113">
      <c r="A1113" t="n">
        <v>1251</v>
      </c>
      <c r="B1113" t="inlineStr">
        <is>
          <t>As a home occupant I want coffee pot turned on at 5am so that I get hot coffee before I get up.</t>
        </is>
      </c>
    </row>
    <row r="1114">
      <c r="A1114" t="n">
        <v>1252</v>
      </c>
      <c r="B1114" t="inlineStr">
        <is>
          <t>As a home occupant I want my kitchen to prepare a meal for me by itself so that I can eat healthy, on time without any preparation .</t>
        </is>
      </c>
    </row>
    <row r="1115">
      <c r="A1115" t="n">
        <v>1253</v>
      </c>
      <c r="B1115" t="inlineStr">
        <is>
          <t>As a home occupant I want the house blinds to open and close based on certain times of the day so that I can save on energy bills.</t>
        </is>
      </c>
    </row>
    <row r="1116">
      <c r="A1116" t="n">
        <v>1255</v>
      </c>
      <c r="B1116" t="inlineStr">
        <is>
          <t>As a home occupant I want My smart home fully secured so that we can get notification if thief in home.</t>
        </is>
      </c>
    </row>
    <row r="1117">
      <c r="A1117" t="n">
        <v>1256</v>
      </c>
      <c r="B1117" t="inlineStr">
        <is>
          <t>As a home occupant I want shower turned on and set at warm temperature so that I can get a warm shower.</t>
        </is>
      </c>
    </row>
    <row r="1118">
      <c r="A1118" t="n">
        <v>1257</v>
      </c>
      <c r="B1118" t="inlineStr">
        <is>
          <t>As a home occupant I want a smart maid that cleans up after messes that are made so that I don't have to do my own cleaning and messes that I'm not even aware of are taken care of..</t>
        </is>
      </c>
    </row>
    <row r="1119">
      <c r="A1119" t="n">
        <v>1259</v>
      </c>
      <c r="B1119" t="inlineStr">
        <is>
          <t>As a rich guy with too much money I want To speak to a women's voice that controls every aspect of my house and network so that I look awesome to any guests that might be arriving..</t>
        </is>
      </c>
    </row>
    <row r="1120">
      <c r="A1120" t="n">
        <v>1260</v>
      </c>
      <c r="B1120" t="inlineStr">
        <is>
          <t>As a parent I want cabinets to lock and unlock based on a hand print or thumbprint so that baby locks wouldn't be necessary .</t>
        </is>
      </c>
    </row>
    <row r="1121">
      <c r="A1121" t="n">
        <v>1261</v>
      </c>
      <c r="B1121" t="inlineStr">
        <is>
          <t>As a home occupant I want floor heater turned on so that the floor can warm my feet.</t>
        </is>
      </c>
    </row>
    <row r="1122">
      <c r="A1122" t="n">
        <v>1262</v>
      </c>
      <c r="B1122" t="inlineStr">
        <is>
          <t>As a home occupant I want the hot water to regulate based on which person is taking a shower so that it would save on energy bills.</t>
        </is>
      </c>
    </row>
    <row r="1123">
      <c r="A1123" t="n">
        <v>1263</v>
      </c>
      <c r="B1123" t="inlineStr">
        <is>
          <t>As a parent I want Parent Control for childrens so that its prevent from bad behaviors .</t>
        </is>
      </c>
    </row>
    <row r="1124">
      <c r="A1124" t="n">
        <v>1264</v>
      </c>
      <c r="B1124" t="inlineStr">
        <is>
          <t>As a pet lover I want my home to let my pet outside into the backyard at certain intervals during the day so that so my pet can exercise and play when I'm not home and I don't have to have an unsightly dog door.</t>
        </is>
      </c>
    </row>
    <row r="1125">
      <c r="A1125" t="n">
        <v>1265</v>
      </c>
      <c r="B1125" t="inlineStr">
        <is>
          <t>As a pet owner I want automatic room sweeper turned on so that it can pick up all the pet hair in the room.</t>
        </is>
      </c>
    </row>
    <row r="1126">
      <c r="A1126" t="n">
        <v>1266</v>
      </c>
      <c r="B1126" t="inlineStr">
        <is>
          <t>As a home occupant I want the tap water to be automatically tested every day and add or remove anything that would make it more healthy  so that I can drink healthy water.</t>
        </is>
      </c>
    </row>
    <row r="1127">
      <c r="A1127" t="n">
        <v>1267</v>
      </c>
      <c r="B1127" t="inlineStr">
        <is>
          <t>As a home occupant I want Proper shutdown my personal computer so that Secure my personal computer.</t>
        </is>
      </c>
    </row>
    <row r="1128">
      <c r="A1128" t="n">
        <v>1268</v>
      </c>
      <c r="B1128" t="inlineStr">
        <is>
          <t>As a home occupant I want my home to arm the alarm itself every night at a certain time so that I can go to sleep knowing that my home/family is protected while we're sleeping.</t>
        </is>
      </c>
    </row>
    <row r="1129">
      <c r="A1129" t="n">
        <v>1269</v>
      </c>
      <c r="B1129" t="inlineStr">
        <is>
          <t>As a home occupant I want the window curtains to automatically close so that the sunlight stays out and the heat stays in.</t>
        </is>
      </c>
    </row>
    <row r="1130">
      <c r="A1130" t="n">
        <v>1270</v>
      </c>
      <c r="B1130" t="inlineStr">
        <is>
          <t>As a parent I want the doors to automatically lock after a certain time of not opening or closing the doors  so that I can keep safe from outside and keep children inside.</t>
        </is>
      </c>
    </row>
    <row r="1131">
      <c r="A1131" t="n">
        <v>1271</v>
      </c>
      <c r="B1131" t="inlineStr">
        <is>
          <t>As a home occupant I want the automatic washer to start so that the clothes can get washed right away.</t>
        </is>
      </c>
    </row>
    <row r="1132">
      <c r="A1132" t="n">
        <v>1272</v>
      </c>
      <c r="B1132" t="inlineStr">
        <is>
          <t>As a home occupant I want solar system so that it gives more money savings.</t>
        </is>
      </c>
    </row>
    <row r="1133">
      <c r="A1133" t="n">
        <v>1273</v>
      </c>
      <c r="B1133" t="inlineStr">
        <is>
          <t>As a home occupant I want small alarms around windows and doors to sound when outside wind or drafts enter specific places so that I can keep heat and cooled air in the house and safe on energy bills.</t>
        </is>
      </c>
    </row>
    <row r="1134">
      <c r="A1134" t="n">
        <v>1274</v>
      </c>
      <c r="B1134" t="inlineStr">
        <is>
          <t>As a home occupant I want the automatic wall heating to turn on so that the room can warm up.</t>
        </is>
      </c>
    </row>
    <row r="1135">
      <c r="A1135" t="n">
        <v>1275</v>
      </c>
      <c r="B1135" t="inlineStr">
        <is>
          <t>As a health conscious person I want my home to sync with my fitbit in order to prepare a meal/drink and adjust room temperatures  so that when I return from a run/exersize I will have a healthy meal ready and i'll be comfortable..</t>
        </is>
      </c>
    </row>
    <row r="1136">
      <c r="A1136" t="n">
        <v>1276</v>
      </c>
      <c r="B1136" t="inlineStr">
        <is>
          <t>As a parent of a teenager I want my smart home to call my cell phone when my child enters the home so that so that I know he is really home and of course, that he is safe..</t>
        </is>
      </c>
    </row>
    <row r="1137">
      <c r="A1137" t="n">
        <v>1277</v>
      </c>
      <c r="B1137" t="inlineStr">
        <is>
          <t>As a toilet user I want My toilets to be on my network with warmers in them, and to recognize my bathroom pattern of use. so that My butt will be nice and warm sitting on the toilet..</t>
        </is>
      </c>
    </row>
    <row r="1138">
      <c r="A1138" t="n">
        <v>1278</v>
      </c>
      <c r="B1138" t="inlineStr">
        <is>
          <t>As a home occupant I want daily news on my mobile  so that Getting news immediately .</t>
        </is>
      </c>
    </row>
    <row r="1139">
      <c r="A1139" t="n">
        <v>1279</v>
      </c>
      <c r="B1139" t="inlineStr">
        <is>
          <t>As a parent I want soothing music to start playing if a child walks up in the middle of the night so that parents wouldn't have to wake up every time a child wakes up.</t>
        </is>
      </c>
    </row>
    <row r="1140">
      <c r="A1140" t="n">
        <v>1280</v>
      </c>
      <c r="B1140" t="inlineStr">
        <is>
          <t>As a home occupant I want water notification so that it will notified the water level in tank.</t>
        </is>
      </c>
    </row>
    <row r="1141">
      <c r="A1141" t="n">
        <v>1281</v>
      </c>
      <c r="B1141" t="inlineStr">
        <is>
          <t>As a home occupant I want the iPod to play Slayer's "South of Heaven" so that I can listen to it while I work.</t>
        </is>
      </c>
    </row>
    <row r="1142">
      <c r="A1142" t="n">
        <v>1282</v>
      </c>
      <c r="B1142" t="inlineStr">
        <is>
          <t>As a home occupant I want my shower to start on its own in the morning so that I can jump in and save time while getting ready for work.</t>
        </is>
      </c>
    </row>
    <row r="1143">
      <c r="A1143" t="n">
        <v>1283</v>
      </c>
      <c r="B1143" t="inlineStr">
        <is>
          <t>As a gamer I want My tv to be hidden behind a wall that reacts to my voice only. so that The wall will open and my huge TV will slide out when needed with game consoles etc..</t>
        </is>
      </c>
    </row>
    <row r="1144">
      <c r="A1144" t="n">
        <v>1284</v>
      </c>
      <c r="B1144" t="inlineStr">
        <is>
          <t>As a home occupant I want my refrigerator to take inventory of my groceries so that when I'm out shopping I know what I need to get.</t>
        </is>
      </c>
    </row>
    <row r="1145">
      <c r="A1145" t="n">
        <v>1285</v>
      </c>
      <c r="B1145" t="inlineStr">
        <is>
          <t>As a as a lady who lives alone I want smart home to check for movement in my home prior to my entering so that I know that no one is waiting for me on the inside of the home..</t>
        </is>
      </c>
    </row>
    <row r="1146">
      <c r="A1146" t="n">
        <v>1286</v>
      </c>
      <c r="B1146" t="inlineStr">
        <is>
          <t>As a power saver I want Generators that run automatically. so that When the power drops they come on ASAP..</t>
        </is>
      </c>
    </row>
    <row r="1147">
      <c r="A1147" t="n">
        <v>1287</v>
      </c>
      <c r="B1147" t="inlineStr">
        <is>
          <t>As a home occupant I want the front door to unlock and open so that my guest can enter the home.</t>
        </is>
      </c>
    </row>
    <row r="1148">
      <c r="A1148" t="n">
        <v>1288</v>
      </c>
      <c r="B1148" t="inlineStr">
        <is>
          <t>As a children I want alarm so that wake up alarm to get up for reading .</t>
        </is>
      </c>
    </row>
    <row r="1149">
      <c r="A1149" t="n">
        <v>1289</v>
      </c>
      <c r="B1149" t="inlineStr">
        <is>
          <t>As a fashionist I want my closet to take inventory of clothing I have so that when I go shopping I can try and find clothes to match items I already have.</t>
        </is>
      </c>
    </row>
    <row r="1150">
      <c r="A1150" t="n">
        <v>1290</v>
      </c>
      <c r="B1150" t="inlineStr">
        <is>
          <t>As a home occupant I want the gutters self-cleaning to turn on so that I don't have to clean the gutters.</t>
        </is>
      </c>
    </row>
    <row r="1151">
      <c r="A1151" t="n">
        <v>1291</v>
      </c>
      <c r="B1151" t="inlineStr">
        <is>
          <t>As a home occupant I want Wifi connection  so that we can use internet entire home.</t>
        </is>
      </c>
    </row>
    <row r="1152">
      <c r="A1152" t="n">
        <v>1292</v>
      </c>
      <c r="B1152" t="inlineStr">
        <is>
          <t>As a person always running late I want My car to know when i'm ready to go before i get there from my house network so that I can hop in and ride with car warmed up and cool..</t>
        </is>
      </c>
    </row>
    <row r="1153">
      <c r="A1153" t="n">
        <v>1293</v>
      </c>
      <c r="B1153" t="inlineStr">
        <is>
          <t>As a home occupant I want room temperatures to be dynamic and adjust according to personal options so that everyone is comfortable in every room at any given moment.</t>
        </is>
      </c>
    </row>
    <row r="1154">
      <c r="A1154" t="n">
        <v>1294</v>
      </c>
      <c r="B1154" t="inlineStr">
        <is>
          <t>As a home occupant I want my smart home to turn to begin gradually turning on the bedroom light at 5:20 AM each morning and be completely on by 5:30 AM so that I can wake up slowly and not be startled by an alarm..</t>
        </is>
      </c>
    </row>
    <row r="1155">
      <c r="A1155" t="n">
        <v>1295</v>
      </c>
      <c r="B1155" t="inlineStr">
        <is>
          <t>As a home occupant I want my home to monitor clothes and bed sheets from the last time they were laundered so that I can make sure my clothes and bed sheets are always clean.</t>
        </is>
      </c>
    </row>
    <row r="1156">
      <c r="A1156" t="n">
        <v>1296</v>
      </c>
      <c r="B1156" t="inlineStr">
        <is>
          <t>As a home maker I want Bluetooth home appliance automation so that will control the appliance.</t>
        </is>
      </c>
    </row>
    <row r="1157">
      <c r="A1157" t="n">
        <v>1297</v>
      </c>
      <c r="B1157" t="inlineStr">
        <is>
          <t>As a home occupant I want my home to monitor my body and it's functions and test excretions for possible ailments so that I can be sure I'm healthy and disease free.</t>
        </is>
      </c>
    </row>
    <row r="1158">
      <c r="A1158" t="n">
        <v>1298</v>
      </c>
      <c r="B1158" t="inlineStr">
        <is>
          <t>As a home occupant I want refrigerator to track the items it stores and provide a digital reading when items are running low  so that I can be a more efficient shopper and so that I always have what I need in the home..</t>
        </is>
      </c>
    </row>
    <row r="1159">
      <c r="A1159" t="n">
        <v>1299</v>
      </c>
      <c r="B1159" t="inlineStr">
        <is>
          <t>As a home occupant I want air conditioner  so that It will manage home temperature level.</t>
        </is>
      </c>
    </row>
    <row r="1160">
      <c r="A1160" t="n">
        <v>1300</v>
      </c>
      <c r="B1160" t="inlineStr">
        <is>
          <t>As a home occupant I want I want my bath water to turn on automatically at 9 PM and use a preset water temperature to fill my tub to the desired level so that I can feel special and important..</t>
        </is>
      </c>
    </row>
    <row r="1161">
      <c r="A1161" t="n">
        <v>1304</v>
      </c>
      <c r="B1161" t="inlineStr">
        <is>
          <t>As a home occupant I want whole house morning alarm  so that I can get the house moving at the same time in the morning .</t>
        </is>
      </c>
    </row>
    <row r="1162">
      <c r="A1162" t="n">
        <v>1305</v>
      </c>
      <c r="B1162" t="inlineStr">
        <is>
          <t>As a home occupant I want my vacuum to vacuum the home at a specific time each day so that I will have less housework to do when I get home..</t>
        </is>
      </c>
    </row>
    <row r="1163">
      <c r="A1163" t="n">
        <v>1307</v>
      </c>
      <c r="B1163" t="inlineStr">
        <is>
          <t>As a home occupant I want Automated music  so that play songs I want right away at voice command .</t>
        </is>
      </c>
    </row>
    <row r="1164">
      <c r="A1164" t="n">
        <v>1309</v>
      </c>
      <c r="B1164" t="inlineStr">
        <is>
          <t>As a home occupant I want natural disater alarm  so that I will have enough time to evacuate .</t>
        </is>
      </c>
    </row>
    <row r="1165">
      <c r="A1165" t="n">
        <v>1310</v>
      </c>
      <c r="B1165" t="inlineStr">
        <is>
          <t>As a home occupant I want automsted light  so that So that if I forget to turn off the lamp it will happen on its own .</t>
        </is>
      </c>
    </row>
    <row r="1166">
      <c r="A1166" t="n">
        <v>1311</v>
      </c>
      <c r="B1166" t="inlineStr">
        <is>
          <t>As a home assistant I want my TV to provide me with a list of options based on my preset and prioritized preference and automatically beep and change to the best show for me at that time so that I don't miss any of my favorite shows and I don't have to spend time manually scrolling through a list of somewhat static options everyday..</t>
        </is>
      </c>
    </row>
    <row r="1167">
      <c r="A1167" t="n">
        <v>1314</v>
      </c>
      <c r="B1167" t="inlineStr">
        <is>
          <t>As a home owner I want my smart home to detect when a room is vacant for a specified amount of time and turn off all lights in that room so that I can save on electricity.</t>
        </is>
      </c>
    </row>
    <row r="1168">
      <c r="A1168" t="n">
        <v>1317</v>
      </c>
      <c r="B1168" t="inlineStr">
        <is>
          <t>As a home occupant I want blood pressure monitor  so that have reading throughout the day without having to do it myself .</t>
        </is>
      </c>
    </row>
    <row r="1169">
      <c r="A1169" t="n">
        <v>1320</v>
      </c>
      <c r="B1169" t="inlineStr">
        <is>
          <t>As a parent I want the refridgerator to lock after 10 pm so that there is no late night snacking to help us be healthy.</t>
        </is>
      </c>
    </row>
    <row r="1170">
      <c r="A1170" t="n">
        <v>1322</v>
      </c>
      <c r="B1170" t="inlineStr">
        <is>
          <t>As a home occupant I want automated toilets  so that so hthat it will still flush when my son forgets too .</t>
        </is>
      </c>
    </row>
    <row r="1171">
      <c r="A1171" t="n">
        <v>1323</v>
      </c>
      <c r="B1171" t="inlineStr">
        <is>
          <t>As a home owner I want my dishwasher to only run after a specified time so that I can save money on electric bills.</t>
        </is>
      </c>
    </row>
    <row r="1172">
      <c r="A1172" t="n">
        <v>1324</v>
      </c>
      <c r="B1172" t="inlineStr">
        <is>
          <t>As a inhabitant of my home I want make sure the doors are locked so that The house will be secure.</t>
        </is>
      </c>
    </row>
    <row r="1173">
      <c r="A1173" t="n">
        <v>1325</v>
      </c>
      <c r="B1173" t="inlineStr">
        <is>
          <t>As a home occupant I want automated temperature checker  so that I can take a temperature without having to disturb who ever is not feeling well .</t>
        </is>
      </c>
    </row>
    <row r="1174">
      <c r="A1174" t="n">
        <v>1327</v>
      </c>
      <c r="B1174" t="inlineStr">
        <is>
          <t>As a home occupant I want motion sensors that don't emit noises  so that provide safety without disturbing autistic ears .</t>
        </is>
      </c>
    </row>
    <row r="1175">
      <c r="A1175" t="n">
        <v>1330</v>
      </c>
      <c r="B1175" t="inlineStr">
        <is>
          <t>As a home occupant I want self shut off pressure valves for furnace  so that If breakdown is emimnent it will stop befor disater strikes .</t>
        </is>
      </c>
    </row>
    <row r="1176">
      <c r="A1176" t="n">
        <v>1331</v>
      </c>
      <c r="B1176" t="inlineStr">
        <is>
          <t>As a home owner I want my oven to be able to act as a cooler, then turn on to cook at a set time  so that I can put something in it before leaving for work and have it be cooked when I get home.</t>
        </is>
      </c>
    </row>
    <row r="1177">
      <c r="A1177" t="n">
        <v>1333</v>
      </c>
      <c r="B1177" t="inlineStr">
        <is>
          <t>As a home occupant I want self refilling coffee pot  so that Coffee is always hot fresh and ready .</t>
        </is>
      </c>
    </row>
    <row r="1178">
      <c r="A1178" t="n">
        <v>1334</v>
      </c>
      <c r="B1178" t="inlineStr">
        <is>
          <t>As a home occupant I want my smart home to notify me on my cell when the smoke detectors' batteries are getting low  so that I don't have to hear the annoying nonstop beeping of the detecter at the most inconvenient times..</t>
        </is>
      </c>
    </row>
    <row r="1179">
      <c r="A1179" t="n">
        <v>1335</v>
      </c>
      <c r="B1179" t="inlineStr">
        <is>
          <t>As a pet owner I want my smart home to detect and sound an alarm when my pet is on the counters so that I can teach him when I am not at home.</t>
        </is>
      </c>
    </row>
    <row r="1180">
      <c r="A1180" t="n">
        <v>1336</v>
      </c>
      <c r="B1180" t="inlineStr">
        <is>
          <t>As a home occupant I want my plants to have water so that they will not get dry.</t>
        </is>
      </c>
    </row>
    <row r="1181">
      <c r="A1181" t="n">
        <v>1337</v>
      </c>
      <c r="B1181" t="inlineStr">
        <is>
          <t>As a home owner I want my smart home to be able to adjust my thermostat based on my voice from wherever I am in the house so that if I am cold or hot at night, I can adjust it without getting up.</t>
        </is>
      </c>
    </row>
    <row r="1182">
      <c r="A1182" t="n">
        <v>1338</v>
      </c>
      <c r="B1182" t="inlineStr">
        <is>
          <t>As a home occupant I want my house to be cleaned so that I don't have to clean up when I get home.</t>
        </is>
      </c>
    </row>
    <row r="1183">
      <c r="A1183" t="n">
        <v>1339</v>
      </c>
      <c r="B1183" t="inlineStr">
        <is>
          <t>As a home occupant I want music to be played when I get home so that it will help me relax.</t>
        </is>
      </c>
    </row>
    <row r="1184">
      <c r="A1184" t="n">
        <v>1340</v>
      </c>
      <c r="B1184" t="inlineStr">
        <is>
          <t>As a home assistant I want my bathroom mirror, sink, and shower to autoclean each day so that I don't have to do it and this will allow me more time for other things..</t>
        </is>
      </c>
    </row>
    <row r="1185">
      <c r="A1185" t="n">
        <v>1341</v>
      </c>
      <c r="B1185" t="inlineStr">
        <is>
          <t>As a parent I want my smart home to alert me whenever the stove is being used when I am not home so that I know my children are safe .</t>
        </is>
      </c>
    </row>
    <row r="1186">
      <c r="A1186" t="n">
        <v>1343</v>
      </c>
      <c r="B1186" t="inlineStr">
        <is>
          <t>As a home owner I want my smart home to alert me at specified times to exercise so that I am forced to make the effort to be healthy.</t>
        </is>
      </c>
    </row>
    <row r="1187">
      <c r="A1187" t="n">
        <v>1344</v>
      </c>
      <c r="B1187" t="inlineStr">
        <is>
          <t>As a home occupant I want my smart home to automatically dial 911 if forced entry is detected (whether an alarm is activated or not) so that I can feel safe all the time..</t>
        </is>
      </c>
    </row>
    <row r="1188">
      <c r="A1188" t="n">
        <v>1348</v>
      </c>
      <c r="B1188" t="inlineStr">
        <is>
          <t>As a home owner I want my smart home to store all of my recipes and be able to recite them to me step by step as I cook so that I can find and make meals easily.</t>
        </is>
      </c>
    </row>
    <row r="1189">
      <c r="A1189" t="n">
        <v>1350</v>
      </c>
      <c r="B1189" t="inlineStr">
        <is>
          <t>As a home owner I want my smart home to be able to project a "hologram" of the video I am watching to follow me from room to room so that so that I can continue watching my movie or show as I move around.</t>
        </is>
      </c>
    </row>
    <row r="1190">
      <c r="A1190" t="n">
        <v>1356</v>
      </c>
      <c r="B1190" t="inlineStr">
        <is>
          <t>As a parent I want A door alarm that lets me know if my child has left the house so that I can keep track of their whereabouts.</t>
        </is>
      </c>
    </row>
    <row r="1191">
      <c r="A1191" t="n">
        <v>1357</v>
      </c>
      <c r="B1191" t="inlineStr">
        <is>
          <t>As a home owner I want Phone notification to alert me when my washer is done washing my clothes so that I can get laundry done more efficiently.</t>
        </is>
      </c>
    </row>
    <row r="1192">
      <c r="A1192" t="n">
        <v>1358</v>
      </c>
      <c r="B1192" t="inlineStr">
        <is>
          <t>As a home owner I want Phone notification to alert me when the garage door is opened so that I can keep track of who is coming into the house.</t>
        </is>
      </c>
    </row>
    <row r="1193">
      <c r="A1193" t="n">
        <v>1359</v>
      </c>
      <c r="B1193" t="inlineStr">
        <is>
          <t>As a home owner I want Phone notification to alert me when food in the fridge is about to spoil/go bad so that I can use groceries instead of wasting them.</t>
        </is>
      </c>
    </row>
    <row r="1194">
      <c r="A1194" t="n">
        <v>1360</v>
      </c>
      <c r="B1194" t="inlineStr">
        <is>
          <t>As a home owner I want Phone notification to alert me of the weather conditions and suggest how to dress properly so that I can be comfortable and prepared for bad weather.</t>
        </is>
      </c>
    </row>
    <row r="1195">
      <c r="A1195" t="n">
        <v>1361</v>
      </c>
      <c r="B1195" t="inlineStr">
        <is>
          <t>As a parent I want Phone notification to alert me if my child gets too close to the pool outside so that I can keep track of their safety and prevent accidents.</t>
        </is>
      </c>
    </row>
    <row r="1196">
      <c r="A1196" t="n">
        <v>1362</v>
      </c>
      <c r="B1196" t="inlineStr">
        <is>
          <t>As a home owner I want Phone notification to alert me when mail or packages are delivered to my house so that I can keep track of important mail items.</t>
        </is>
      </c>
    </row>
    <row r="1197">
      <c r="A1197" t="n">
        <v>1363</v>
      </c>
      <c r="B1197" t="inlineStr">
        <is>
          <t>As a pet owner I want Phone notification to alert me if my dog wanders away from home so that I can keep track of their whereabouts.</t>
        </is>
      </c>
    </row>
    <row r="1198">
      <c r="A1198" t="n">
        <v>1364</v>
      </c>
      <c r="B1198" t="inlineStr">
        <is>
          <t>As a home owner I want Phone notification to alert me when someone knocks on my front door so that I don't miss food deliveries.</t>
        </is>
      </c>
    </row>
    <row r="1199">
      <c r="A1199" t="n">
        <v>1365</v>
      </c>
      <c r="B1199" t="inlineStr">
        <is>
          <t>As a parent I want Phone notification to alert me if my child wanders too close to the street so that I can keep track of their safety and prevent accidents.</t>
        </is>
      </c>
    </row>
    <row r="1200">
      <c r="A1200" t="n">
        <v>1366</v>
      </c>
      <c r="B1200" t="inlineStr">
        <is>
          <t>As a parent I want a way to easily gather my children  so that I don't have to yell and wait for them.</t>
        </is>
      </c>
    </row>
    <row r="1201">
      <c r="A1201" t="n">
        <v>1367</v>
      </c>
      <c r="B1201" t="inlineStr">
        <is>
          <t>As a chef I want kitchen appliances with smart technology so that I can cook better overall.</t>
        </is>
      </c>
    </row>
    <row r="1202">
      <c r="A1202" t="n">
        <v>1368</v>
      </c>
      <c r="B1202" t="inlineStr">
        <is>
          <t>As a cautious person I want security cameras everywhere so that I can feel safe.</t>
        </is>
      </c>
    </row>
    <row r="1203">
      <c r="A1203" t="n">
        <v>1369</v>
      </c>
      <c r="B1203" t="inlineStr">
        <is>
          <t>As a over-sleeper I want smart alarm clocks so that I will wake up on time.</t>
        </is>
      </c>
    </row>
    <row r="1204">
      <c r="A1204" t="n">
        <v>1370</v>
      </c>
      <c r="B1204" t="inlineStr">
        <is>
          <t>As a lazy person I want a voice controlled remote so that I don't have to get off the couch.</t>
        </is>
      </c>
    </row>
    <row r="1205">
      <c r="A1205" t="n">
        <v>1371</v>
      </c>
      <c r="B1205" t="inlineStr">
        <is>
          <t>As a entertainer I want a great music system  so that my guests are impressed.</t>
        </is>
      </c>
    </row>
    <row r="1206">
      <c r="A1206" t="n">
        <v>1372</v>
      </c>
      <c r="B1206" t="inlineStr">
        <is>
          <t>As a anxious person I want smart light controls so that I can turn all of the lights off from my bed.</t>
        </is>
      </c>
    </row>
    <row r="1207">
      <c r="A1207" t="n">
        <v>1373</v>
      </c>
      <c r="B1207" t="inlineStr">
        <is>
          <t>As a person who likes it cool I want smart heating and cooling appliances so that it is always kept nice and brisk.</t>
        </is>
      </c>
    </row>
    <row r="1208">
      <c r="A1208" t="n">
        <v>1374</v>
      </c>
      <c r="B1208" t="inlineStr">
        <is>
          <t>As a mother I want smart cleaning products so that I can keep up with my kids messes.</t>
        </is>
      </c>
    </row>
    <row r="1209">
      <c r="A1209" t="n">
        <v>1375</v>
      </c>
      <c r="B1209" t="inlineStr">
        <is>
          <t>As a parent I want a sound to play when exterior door are opened so that I know if my son goes outside.</t>
        </is>
      </c>
    </row>
    <row r="1210">
      <c r="A1210" t="n">
        <v>1376</v>
      </c>
      <c r="B1210" t="inlineStr">
        <is>
          <t>As a cautious person I want smart emergency alarms so that I feel safe .</t>
        </is>
      </c>
    </row>
    <row r="1211">
      <c r="A1211" t="n">
        <v>1377</v>
      </c>
      <c r="B1211" t="inlineStr">
        <is>
          <t>As a parent I want an alarm to sound if the gate to the pool is opened so that I will know if someone enters when I am not present.</t>
        </is>
      </c>
    </row>
    <row r="1212">
      <c r="A1212" t="n">
        <v>1378</v>
      </c>
      <c r="B1212" t="inlineStr">
        <is>
          <t>As a home owner I want a smart fridge that jeeps track of essential food items so that it will remind me when I need more items. .</t>
        </is>
      </c>
    </row>
    <row r="1213">
      <c r="A1213" t="n">
        <v>1379</v>
      </c>
      <c r="B1213" t="inlineStr">
        <is>
          <t>As a single woman I want a sound to alert me if I forget to set the alarm so that I will never forget to set the alarm when I leave the house.</t>
        </is>
      </c>
    </row>
    <row r="1214">
      <c r="A1214" t="n">
        <v>1380</v>
      </c>
      <c r="B1214" t="inlineStr">
        <is>
          <t>As a home owner I want all lights to turn off or dim when rooms are unoccupied so that I will save money on my electricity bill.</t>
        </is>
      </c>
    </row>
    <row r="1215">
      <c r="A1215" t="n">
        <v>1381</v>
      </c>
      <c r="B1215" t="inlineStr">
        <is>
          <t>As a home owner I want music to play whenever I am in the kitchen so that I can be entertained while cooking or cleaning.</t>
        </is>
      </c>
    </row>
    <row r="1216">
      <c r="A1216" t="n">
        <v>1382</v>
      </c>
      <c r="B1216" t="inlineStr">
        <is>
          <t>As a home owner I want a device that controls the all lights in any room of the house so that I can save money on energy bills..</t>
        </is>
      </c>
    </row>
    <row r="1217">
      <c r="A1217" t="n">
        <v>1383</v>
      </c>
      <c r="B1217" t="inlineStr">
        <is>
          <t>As a home occupant I want all electronics (computers, etc) to shut down or sleep after a certain hour. so that I am not wastin electricity and I am prolonging the life of my electronics.</t>
        </is>
      </c>
    </row>
    <row r="1218">
      <c r="A1218" t="n">
        <v>1384</v>
      </c>
      <c r="B1218" t="inlineStr">
        <is>
          <t>As a home occupant I want All power strips to automatically shut off when plugged in devices are fully charged so that Eliminate wasting energy via plugs that aren't charging anything.</t>
        </is>
      </c>
    </row>
    <row r="1219">
      <c r="A1219" t="n">
        <v>1385</v>
      </c>
      <c r="B1219" t="inlineStr">
        <is>
          <t>As a home owner I want a device that adjusts the tomperature in the house according to the weather so that I can save on bills..</t>
        </is>
      </c>
    </row>
    <row r="1220">
      <c r="A1220" t="n">
        <v>1386</v>
      </c>
      <c r="B1220" t="inlineStr">
        <is>
          <t>As a home occupant I want led lighting to guide me up the walkway when I come home at night so that I remain safe and can see my surroundings.</t>
        </is>
      </c>
    </row>
    <row r="1221">
      <c r="A1221" t="n">
        <v>1387</v>
      </c>
      <c r="B1221" t="inlineStr">
        <is>
          <t>As a home owner I want receive alerts (via smart phone) when someone comes onto my porch so that I can know who is approaching my home when I'm away.</t>
        </is>
      </c>
    </row>
    <row r="1222">
      <c r="A1222" t="n">
        <v>1388</v>
      </c>
      <c r="B1222" t="inlineStr">
        <is>
          <t>As a home owner I want a device and speakers in every room of the house  so that I can listen to audio in any room.</t>
        </is>
      </c>
    </row>
    <row r="1223">
      <c r="A1223" t="n">
        <v>1389</v>
      </c>
      <c r="B1223" t="inlineStr">
        <is>
          <t>As a parent I want the humidifier in my son's room to turn on and off at certain time overnight so that he remains healthy from the moisture but, there isn't so much that the room becomes overly humid.</t>
        </is>
      </c>
    </row>
    <row r="1224">
      <c r="A1224" t="n">
        <v>1390</v>
      </c>
      <c r="B1224" t="inlineStr">
        <is>
          <t>As a home owner I want program that keeps track of the shows I like and tells me when they are on so that I can watch or record it..</t>
        </is>
      </c>
    </row>
    <row r="1225">
      <c r="A1225" t="n">
        <v>1391</v>
      </c>
      <c r="B1225" t="inlineStr">
        <is>
          <t>As a home owner I want an automatic lock on the doors after a certain time so that the doors will be locked no matter what..</t>
        </is>
      </c>
    </row>
    <row r="1226">
      <c r="A1226" t="n">
        <v>1392</v>
      </c>
      <c r="B1226" t="inlineStr">
        <is>
          <t>As a home owner I want a device that keeps track of what is in the fridge and gives me recipes using the food that I have so that I know what I can cook.</t>
        </is>
      </c>
    </row>
    <row r="1227">
      <c r="A1227" t="n">
        <v>1393</v>
      </c>
      <c r="B1227" t="inlineStr">
        <is>
          <t>As a home owner I want smoke detector that automatically opens doors so that people have a better chance of getting out in case of an emergency..</t>
        </is>
      </c>
    </row>
    <row r="1228">
      <c r="A1228" t="n">
        <v>1394</v>
      </c>
      <c r="B1228" t="inlineStr">
        <is>
          <t>As a home owner I want device that plays music wirelessly from any device so that Music and playlists can easily be listened to..</t>
        </is>
      </c>
    </row>
    <row r="1229">
      <c r="A1229" t="n">
        <v>1395</v>
      </c>
      <c r="B1229" t="inlineStr">
        <is>
          <t>As a home owner I want a device that tell me when mail or a package has arrived so that Important items are not left outside..</t>
        </is>
      </c>
    </row>
    <row r="1230">
      <c r="A1230" t="n">
        <v>1396</v>
      </c>
      <c r="B1230" t="inlineStr">
        <is>
          <t>As a home occupant I want A weather station that reports the weather right from my own yard so that I can keep track of fluctuations in conditions from anywhere. .</t>
        </is>
      </c>
    </row>
    <row r="1231">
      <c r="A1231" t="n">
        <v>1397</v>
      </c>
      <c r="B1231" t="inlineStr">
        <is>
          <t>As a a home owner I want to be able to access my pantry and fridge's inventory so that i can get exactly what i need from the grocery store without having to create a list. .</t>
        </is>
      </c>
    </row>
    <row r="1232">
      <c r="A1232" t="n">
        <v>1398</v>
      </c>
      <c r="B1232" t="inlineStr">
        <is>
          <t>As a gardener I want A sprnkler system that will automatically water my plants so that My garden gets maintained when it comes to times i can not do it myself..</t>
        </is>
      </c>
    </row>
    <row r="1233">
      <c r="A1233" t="n">
        <v>1399</v>
      </c>
      <c r="B1233" t="inlineStr">
        <is>
          <t>As a nanny I want specialized heater vents and cold air returns so that little fingers and objects cannot be stuffed inside..</t>
        </is>
      </c>
    </row>
    <row r="1234">
      <c r="A1234" t="n">
        <v>1400</v>
      </c>
      <c r="B1234" t="inlineStr">
        <is>
          <t>As a home occupant I want a cooling blanket so that warm summer nights are relieved by wrapping yourself in a blanket to cool down..</t>
        </is>
      </c>
    </row>
    <row r="1235">
      <c r="A1235" t="n">
        <v>1401</v>
      </c>
      <c r="B1235" t="inlineStr">
        <is>
          <t>As a home owner I want my home to be able to detect any loss of pressure or blockage in the pipes so that i can pinpoint any abnormalities and fix them before they become more serious.</t>
        </is>
      </c>
    </row>
    <row r="1236">
      <c r="A1236" t="n">
        <v>1402</v>
      </c>
      <c r="B1236" t="inlineStr">
        <is>
          <t>As a parent I want A smart car that will not operate when my teenage kids try to sneek the car out so that I wil have peace of mind when i am unaware..</t>
        </is>
      </c>
    </row>
    <row r="1237">
      <c r="A1237" t="n">
        <v>1403</v>
      </c>
      <c r="B1237" t="inlineStr">
        <is>
          <t>As a pet owner I want a door that unlocks and opens with the command of a smart phone so that I can let the dog out to use the bathroom even when I'm not home..</t>
        </is>
      </c>
    </row>
    <row r="1238">
      <c r="A1238" t="n">
        <v>1404</v>
      </c>
      <c r="B1238" t="inlineStr">
        <is>
          <t>As a parent I want my smart home to keep tabs of who is in or out of the house so that i can know when my kids arrive or leave.</t>
        </is>
      </c>
    </row>
    <row r="1239">
      <c r="A1239" t="n">
        <v>1405</v>
      </c>
      <c r="B1239" t="inlineStr">
        <is>
          <t>As a parent I want Computer controlled cameras to come on in case of emergency so that I can quickly see if there is a dangerous situation at home remotely.</t>
        </is>
      </c>
    </row>
    <row r="1240">
      <c r="A1240" t="n">
        <v>1406</v>
      </c>
      <c r="B1240" t="inlineStr">
        <is>
          <t>As a home occupant I want a wall that can change scenery so that I can always be surrounded by elements that appeal to me, no matter what the weather is outside..</t>
        </is>
      </c>
    </row>
    <row r="1241">
      <c r="A1241" t="n">
        <v>1407</v>
      </c>
      <c r="B1241" t="inlineStr">
        <is>
          <t>As a home occupant I want a smart thermostat  so that i can better regulate the temperature in my home.</t>
        </is>
      </c>
    </row>
    <row r="1242">
      <c r="A1242" t="n">
        <v>1408</v>
      </c>
      <c r="B1242" t="inlineStr">
        <is>
          <t>As a home occupant I want a built in noise machine with many different sounds so that I can hear any type of noise I'd like from anywhere in the house..</t>
        </is>
      </c>
    </row>
    <row r="1243">
      <c r="A1243" t="n">
        <v>1409</v>
      </c>
      <c r="B1243" t="inlineStr">
        <is>
          <t>As a work from home employee I want wireless phone connectivity throughout the house so that I can communocate easily and seamlessly.</t>
        </is>
      </c>
    </row>
    <row r="1244">
      <c r="A1244" t="n">
        <v>1410</v>
      </c>
      <c r="B1244" t="inlineStr">
        <is>
          <t>As a home occupant I want a self sustaining greenhouse so that my plants will always be taken care of and watered properly.</t>
        </is>
      </c>
    </row>
    <row r="1245">
      <c r="A1245" t="n">
        <v>1411</v>
      </c>
      <c r="B1245" t="inlineStr">
        <is>
          <t>As a pet owner I want I want a lawn that will absorb all dog poop so that People with back problems will not have to bend to pick up feces anymore.</t>
        </is>
      </c>
    </row>
    <row r="1246">
      <c r="A1246" t="n">
        <v>1412</v>
      </c>
      <c r="B1246" t="inlineStr">
        <is>
          <t>As a home owner I want a smart system that detect drain clogs in my septic so that I know when its clogged and can fix it before it gets worst.</t>
        </is>
      </c>
    </row>
    <row r="1247">
      <c r="A1247" t="n">
        <v>1413</v>
      </c>
      <c r="B1247" t="inlineStr">
        <is>
          <t>As a husband I want to be able to contact my wife when i am out at any place inside the house so that i can reach her promptly in case of an emergency.</t>
        </is>
      </c>
    </row>
    <row r="1248">
      <c r="A1248" t="n">
        <v>1414</v>
      </c>
      <c r="B1248" t="inlineStr">
        <is>
          <t>As a home occupant I want a touch screen calendar built into the wall so that I can easily track my schedule without paper, pens, markers, or messy dry erase markers.</t>
        </is>
      </c>
    </row>
    <row r="1249">
      <c r="A1249" t="n">
        <v>1415</v>
      </c>
      <c r="B1249" t="inlineStr">
        <is>
          <t>As a neighbor I want notifications of neighborhood emergencies so that be prepared if there is a need to evacuate.</t>
        </is>
      </c>
    </row>
    <row r="1250">
      <c r="A1250" t="n">
        <v>1416</v>
      </c>
      <c r="B1250" t="inlineStr">
        <is>
          <t>As a home occupant I want refrigerator that keeps count of what's inside so that I will always know when something is running low..</t>
        </is>
      </c>
    </row>
    <row r="1251">
      <c r="A1251" t="n">
        <v>1417</v>
      </c>
      <c r="B1251" t="inlineStr">
        <is>
          <t>As a home occupant I want a device that will style my hair for me so that my hair will look great all the time. .</t>
        </is>
      </c>
    </row>
    <row r="1252">
      <c r="A1252" t="n">
        <v>1418</v>
      </c>
      <c r="B1252" t="inlineStr">
        <is>
          <t>As a hiking enthusiast I want my home to keep track of the data from my heart monitoring system  so that me or anyone at home can access that information.</t>
        </is>
      </c>
    </row>
    <row r="1253">
      <c r="A1253" t="n">
        <v>1419</v>
      </c>
      <c r="B1253" t="inlineStr">
        <is>
          <t>As a home owner I want a system that notifies me when I'm using too much energy so that I can save money on my monthly light bill.</t>
        </is>
      </c>
    </row>
    <row r="1254">
      <c r="A1254" t="n">
        <v>1420</v>
      </c>
      <c r="B1254" t="inlineStr">
        <is>
          <t>As a cook I want programmable appliances so that I can hit a recipe on an appliance amd it cooks.</t>
        </is>
      </c>
    </row>
    <row r="1255">
      <c r="A1255" t="n">
        <v>1421</v>
      </c>
      <c r="B1255" t="inlineStr">
        <is>
          <t>As a pet owner I want to be able to interact with my pets when away so that i can make them feel better while away.</t>
        </is>
      </c>
    </row>
    <row r="1256">
      <c r="A1256" t="n">
        <v>1422</v>
      </c>
      <c r="B1256" t="inlineStr">
        <is>
          <t>As a home owner I want An alarm system that will warn me when my toilet is about to get clogged up so that People can assess the problem before the clog happens.</t>
        </is>
      </c>
    </row>
    <row r="1257">
      <c r="A1257" t="n">
        <v>1423</v>
      </c>
      <c r="B1257" t="inlineStr">
        <is>
          <t>As a working professional I want my smart home to start slowly rising the blinds and playing soft relaxing sounds about 20 minutes before i have to wake up so that i wake up more rested and not as abruptly as with an alarm clock.</t>
        </is>
      </c>
    </row>
    <row r="1258">
      <c r="A1258" t="n">
        <v>1424</v>
      </c>
      <c r="B1258" t="inlineStr">
        <is>
          <t>As a parent I want My tv to shut off at a certain time when my kids watch so that My kids dont spend all day in front of a tv.</t>
        </is>
      </c>
    </row>
    <row r="1259">
      <c r="A1259" t="n">
        <v>1425</v>
      </c>
      <c r="B1259" t="inlineStr">
        <is>
          <t>As a parent I want My indoor wifi to shut at certain times of the day so that My kids dont get too caught up on the internet life.</t>
        </is>
      </c>
    </row>
    <row r="1260">
      <c r="A1260" t="n">
        <v>1426</v>
      </c>
      <c r="B1260" t="inlineStr">
        <is>
          <t>As a lazy person I want I would like a system to alert me of the weather, time and such so that I don't have to grab for my cell phone .</t>
        </is>
      </c>
    </row>
    <row r="1261">
      <c r="A1261" t="n">
        <v>1427</v>
      </c>
      <c r="B1261" t="inlineStr">
        <is>
          <t>As a trendy person I want stay connected, so it would be wonderful if all my social networks could be accessed across the home with lets say a finger print  and only while my phone is connected to the home's wifi network. so that i can access all my social media, email and messages from anywhere in the house without having to carry my phone. .</t>
        </is>
      </c>
    </row>
    <row r="1262">
      <c r="A1262" t="n">
        <v>1428</v>
      </c>
      <c r="B1262" t="inlineStr">
        <is>
          <t>As a home owner I want a security system that tells and tracks who is entering my home so that I can keep my home secure.</t>
        </is>
      </c>
    </row>
    <row r="1263">
      <c r="A1263" t="n">
        <v>1429</v>
      </c>
      <c r="B1263" t="inlineStr">
        <is>
          <t>As a home owner I want a maintenance monitor so that I can track items to fix or change.</t>
        </is>
      </c>
    </row>
    <row r="1264">
      <c r="A1264" t="n">
        <v>1430</v>
      </c>
      <c r="B1264" t="inlineStr">
        <is>
          <t>As a music lover I want the home to track where i am and if i leave a room i want the music to follow me through the house so that i can enjoy my music wherever i go. .</t>
        </is>
      </c>
    </row>
    <row r="1265">
      <c r="A1265" t="n">
        <v>1431</v>
      </c>
      <c r="B1265" t="inlineStr">
        <is>
          <t>As a mother I want A device that i can bring to the grocery to tell me if cettain fruits are ripe to eat so that I dont keep buying fruit that will take days before consumable.</t>
        </is>
      </c>
    </row>
    <row r="1266">
      <c r="A1266" t="n">
        <v>1432</v>
      </c>
      <c r="B1266" t="inlineStr">
        <is>
          <t>As a parent I want the ability to grant a single use code to open the door even if i am not at home at the time so that if my kids forget their keys ill be able to let them in.</t>
        </is>
      </c>
    </row>
    <row r="1267">
      <c r="A1267" t="n">
        <v>1433</v>
      </c>
      <c r="B1267" t="inlineStr">
        <is>
          <t>As a tv watcher I want separate TVs controlled for individuals in the house so that programs can be recorded and reviewd in multiple locations.</t>
        </is>
      </c>
    </row>
    <row r="1268">
      <c r="A1268" t="n">
        <v>1434</v>
      </c>
      <c r="B1268" t="inlineStr">
        <is>
          <t>As a home owner I want A trash can thay absorbs all the foul smell so that I do not have to worry about guest or family complaining about the trash can.</t>
        </is>
      </c>
    </row>
    <row r="1269">
      <c r="A1269" t="n">
        <v>1435</v>
      </c>
      <c r="B1269" t="inlineStr">
        <is>
          <t>As a spouse I want message monitors so that I can send notes to monitors in the house remotely.</t>
        </is>
      </c>
    </row>
    <row r="1270">
      <c r="A1270" t="n">
        <v>1436</v>
      </c>
      <c r="B1270" t="inlineStr">
        <is>
          <t>As a parent I want A gaming console that will only operate under parents commands so that My kids will do whats important first, before playing.</t>
        </is>
      </c>
    </row>
    <row r="1271">
      <c r="A1271" t="n">
        <v>1437</v>
      </c>
      <c r="B1271" t="inlineStr">
        <is>
          <t>As a home owner I want external mositure landscape monitors so that I can program watering based upon moisture content.</t>
        </is>
      </c>
    </row>
    <row r="1272">
      <c r="A1272" t="n">
        <v>1438</v>
      </c>
      <c r="B1272" t="inlineStr">
        <is>
          <t>As a sports fan I want to be able to know the scores of each game so that I can be up to date with what's happening.</t>
        </is>
      </c>
    </row>
    <row r="1273">
      <c r="A1273" t="n">
        <v>1439</v>
      </c>
      <c r="B1273" t="inlineStr">
        <is>
          <t>As a home owner I want multiple heating/cooling zones so that I can heat only what I need to use.</t>
        </is>
      </c>
    </row>
    <row r="1274">
      <c r="A1274" t="n">
        <v>1440</v>
      </c>
      <c r="B1274" t="inlineStr">
        <is>
          <t>As a home owner I want a self cleaning bathroom and kitchen so that I can spend more time working instead of cleaning.</t>
        </is>
      </c>
    </row>
    <row r="1275">
      <c r="A1275" t="n">
        <v>1441</v>
      </c>
      <c r="B1275" t="inlineStr">
        <is>
          <t>As a music lover I want multiple music zones so that each family member can choose there own music.</t>
        </is>
      </c>
    </row>
    <row r="1276">
      <c r="A1276" t="n">
        <v>1442</v>
      </c>
      <c r="B1276" t="inlineStr">
        <is>
          <t>As a home owner I want wifi sensors for outlets so that so I can turn off items that Im not using.</t>
        </is>
      </c>
    </row>
    <row r="1277">
      <c r="A1277" t="n">
        <v>1443</v>
      </c>
      <c r="B1277" t="inlineStr">
        <is>
          <t>As a parent I want A vacuum that will tell me when the floors are 100 percent clean so that I dont have to worry about my kids crawling, rolling on the floors.</t>
        </is>
      </c>
    </row>
    <row r="1278">
      <c r="A1278" t="n">
        <v>1444</v>
      </c>
      <c r="B1278" t="inlineStr">
        <is>
          <t>As a someone who works from home I want a system that tells me how many hours I'm working and per hour rate so that I can know how efficient Im being.</t>
        </is>
      </c>
    </row>
    <row r="1279">
      <c r="A1279" t="n">
        <v>1445</v>
      </c>
      <c r="B1279" t="inlineStr">
        <is>
          <t>As a home owner I want smart locks on all doors so that I can protect my home for who is coming in and out.</t>
        </is>
      </c>
    </row>
    <row r="1280">
      <c r="A1280" t="n">
        <v>1446</v>
      </c>
      <c r="B1280" t="inlineStr">
        <is>
          <t>As a home owner I want fire sensors to be linked to the fire suppression system, to be activated when a fire occurs so that i can protect my property.</t>
        </is>
      </c>
    </row>
    <row r="1281">
      <c r="A1281" t="n">
        <v>1447</v>
      </c>
      <c r="B1281" t="inlineStr">
        <is>
          <t>As a private person I want household cameras to detect when I leave the house, and activate recording so that I can protect my  house while I'm away while not recording private activity.</t>
        </is>
      </c>
    </row>
    <row r="1282">
      <c r="A1282" t="n">
        <v>1448</v>
      </c>
      <c r="B1282" t="inlineStr">
        <is>
          <t>As a television viewer I want the TV to detect weather alerts and automatically turn on the TV and turn to the weather channel so that I can be aware of emergency weather conditions.</t>
        </is>
      </c>
    </row>
    <row r="1283">
      <c r="A1283" t="n">
        <v>1449</v>
      </c>
      <c r="B1283" t="inlineStr">
        <is>
          <t>As a stock trader I want on stock alert levels, displays to be activated showing current market activity regarding the specific stock so that I can get immediate information on a specific stock.</t>
        </is>
      </c>
    </row>
    <row r="1284">
      <c r="A1284" t="n">
        <v>1450</v>
      </c>
      <c r="B1284" t="inlineStr">
        <is>
          <t>As a energy consumer I want lights to be activated and de-activated as I enter and leave a room so that I can save energy.</t>
        </is>
      </c>
    </row>
    <row r="1285">
      <c r="A1285" t="n">
        <v>1451</v>
      </c>
      <c r="B1285" t="inlineStr">
        <is>
          <t>As a television viewer I want displays to be activated and deactivated as I move rooms, showing the channel I'm currently viewing so that I can continue to watch TV as I move through rooms.</t>
        </is>
      </c>
    </row>
    <row r="1286">
      <c r="A1286" t="n">
        <v>1452</v>
      </c>
      <c r="B1286" t="inlineStr">
        <is>
          <t>As a home owner I want the alarm system to automatically activate after all registered people in the home have left so that I can secure the household.</t>
        </is>
      </c>
    </row>
    <row r="1287">
      <c r="A1287" t="n">
        <v>1453</v>
      </c>
      <c r="B1287" t="inlineStr">
        <is>
          <t>As a home owner I want a smart garage door opener so that when i pull up on my motorcycle it senses the bike and opens the door automatically without me having to get off the bike.</t>
        </is>
      </c>
    </row>
    <row r="1288">
      <c r="A1288" t="n">
        <v>1454</v>
      </c>
      <c r="B1288" t="inlineStr">
        <is>
          <t>As a living person I want medical sensors to detect when a life threatening medical even occurs (heart attack) and notify emergency services so that I can survive a life threatening event if I am unable to call for assistance.</t>
        </is>
      </c>
    </row>
    <row r="1289">
      <c r="A1289" t="n">
        <v>1455</v>
      </c>
      <c r="B1289" t="inlineStr">
        <is>
          <t>As a home owner I want smart doggie door so that when my dog approaches it, the collar is sensed and allows him entry but locks afterward.</t>
        </is>
      </c>
    </row>
    <row r="1290">
      <c r="A1290" t="n">
        <v>1456</v>
      </c>
      <c r="B1290" t="inlineStr">
        <is>
          <t>As a energy consumer I want heat and air conditioning to activate and de-activate as I move from one room to another so that I can save energy.</t>
        </is>
      </c>
    </row>
    <row r="1291">
      <c r="A1291" t="n">
        <v>1457</v>
      </c>
      <c r="B1291" t="inlineStr">
        <is>
          <t>As a home owner I want a smart shower which signals when i pre programmed temperature is reached so that i dont burn myself or walk into a cold shower or waste water.</t>
        </is>
      </c>
    </row>
    <row r="1292">
      <c r="A1292" t="n">
        <v>1458</v>
      </c>
      <c r="B1292" t="inlineStr">
        <is>
          <t>As a home owner I want smart radiant floor heating so that as i walk into a room only that rooms floor heating is engaged.</t>
        </is>
      </c>
    </row>
    <row r="1293">
      <c r="A1293" t="n">
        <v>1459</v>
      </c>
      <c r="B1293" t="inlineStr">
        <is>
          <t>As a home owner I want smart water sprinklers so that they only turn on when they sense that there has been a shortage in natural water fall.</t>
        </is>
      </c>
    </row>
    <row r="1294">
      <c r="A1294" t="n">
        <v>1460</v>
      </c>
      <c r="B1294" t="inlineStr">
        <is>
          <t>As a home owner I want sensors to detect a break-in and automatically close and lock the doors of the room containing intruder so that I have time to take emergency action when a break-in occurs.</t>
        </is>
      </c>
    </row>
    <row r="1295">
      <c r="A1295" t="n">
        <v>1461</v>
      </c>
      <c r="B1295" t="inlineStr">
        <is>
          <t>As a home owner I want a smart mailbox so that i receive smart phone notifications when mail is placed in my box.</t>
        </is>
      </c>
    </row>
    <row r="1296">
      <c r="A1296" t="n">
        <v>1462</v>
      </c>
      <c r="B1296" t="inlineStr">
        <is>
          <t>As a home owner I want a smart desktop and monitor  so that when i enter the room the computer automatically wakes and turns the monitor on and when i leave for an extended time automatically puts the computer into sleep mode and turns the monitors off.</t>
        </is>
      </c>
    </row>
    <row r="1297">
      <c r="A1297" t="n">
        <v>1463</v>
      </c>
      <c r="B1297" t="inlineStr">
        <is>
          <t>As a home owner I want smart locks so that like a car key fob doors lock and unlock depending on the proximity of the key i keep on my person.</t>
        </is>
      </c>
    </row>
    <row r="1298">
      <c r="A1298" t="n">
        <v>1464</v>
      </c>
      <c r="B1298" t="inlineStr">
        <is>
          <t>As a home owner I want biometric controls on locks so that i have greater security for my home and convenience, i can never be locked out again.</t>
        </is>
      </c>
    </row>
    <row r="1299">
      <c r="A1299" t="n">
        <v>1465</v>
      </c>
      <c r="B1299" t="inlineStr">
        <is>
          <t>As a home owner I want smart vacation lighting so that when i am away the house knows my typical lighting habits and continues those while im away to keep would be intruders deterred.</t>
        </is>
      </c>
    </row>
    <row r="1300">
      <c r="A1300" t="n">
        <v>1466</v>
      </c>
      <c r="B1300" t="inlineStr">
        <is>
          <t>As a home occupant I want outlet timers so that I could turn on certain light decorations at night and have them turn off in the morning..</t>
        </is>
      </c>
    </row>
    <row r="1301">
      <c r="A1301" t="n">
        <v>1467</v>
      </c>
      <c r="B1301" t="inlineStr">
        <is>
          <t>As a home owner I want humidity sensors  so that my humidifiers function more accurately in the basement..</t>
        </is>
      </c>
    </row>
    <row r="1302">
      <c r="A1302" t="n">
        <v>1468</v>
      </c>
      <c r="B1302" t="inlineStr">
        <is>
          <t>As a home occupant I want music sensors so that I can play music on the house surround in any room by stating a request..</t>
        </is>
      </c>
    </row>
    <row r="1303">
      <c r="A1303" t="n">
        <v>1469</v>
      </c>
      <c r="B1303" t="inlineStr">
        <is>
          <t>As a home occupant I want thermometer that's aware of the daylight so that it lowers the temperature in the house when sunny out, or raises it when it gets dark..</t>
        </is>
      </c>
    </row>
    <row r="1304">
      <c r="A1304" t="n">
        <v>1470</v>
      </c>
      <c r="B1304" t="inlineStr">
        <is>
          <t>As a home occupant I want motion activated alert system so that I am aware whenever anyone is at my doors..</t>
        </is>
      </c>
    </row>
    <row r="1305">
      <c r="A1305" t="n">
        <v>1471</v>
      </c>
      <c r="B1305" t="inlineStr">
        <is>
          <t>As a home owner I want water amount alerter so that I am aware of how much water I am using at a time..</t>
        </is>
      </c>
    </row>
    <row r="1306">
      <c r="A1306" t="n">
        <v>1472</v>
      </c>
      <c r="B1306" t="inlineStr">
        <is>
          <t>As a home owner I want remote access to fire alarms so that I am aware if my fire alarms go off while I am not at home..</t>
        </is>
      </c>
    </row>
    <row r="1307">
      <c r="A1307" t="n">
        <v>1473</v>
      </c>
      <c r="B1307" t="inlineStr">
        <is>
          <t>As a pet owner I want remote light access so that I can turn my lights on or off for my cats when I am not at home if it gets dark or daylight..</t>
        </is>
      </c>
    </row>
    <row r="1308">
      <c r="A1308" t="n">
        <v>1474</v>
      </c>
      <c r="B1308" t="inlineStr">
        <is>
          <t>As a home owner I want energy alerter so that I am aware of how much energy I am using in the house at a given time..</t>
        </is>
      </c>
    </row>
    <row r="1309">
      <c r="A1309" t="n">
        <v>1475</v>
      </c>
      <c r="B1309" t="inlineStr">
        <is>
          <t>As a home owner I want remote access to outlets so that I can turn them off to avoid energy vampires..</t>
        </is>
      </c>
    </row>
    <row r="1310">
      <c r="A1310" t="n">
        <v>1476</v>
      </c>
      <c r="B1310" t="inlineStr">
        <is>
          <t>As a home owner I want The sprinkler system to not only be timed, but to only go off depending on saturation. so that water can be conserved..</t>
        </is>
      </c>
    </row>
    <row r="1311">
      <c r="A1311" t="n">
        <v>1478</v>
      </c>
      <c r="B1311" t="inlineStr">
        <is>
          <t>As a home occupant I want Heat in each room I am in to be set at 70 degrees. so that I am comfortable at all times..</t>
        </is>
      </c>
    </row>
    <row r="1312">
      <c r="A1312" t="n">
        <v>1479</v>
      </c>
      <c r="B1312" t="inlineStr">
        <is>
          <t>As a gadget enthusiast I want a unit that will control the lights, sounds, temperature and entertainment devices in the house so that I can easily control everything in the house.</t>
        </is>
      </c>
    </row>
    <row r="1313">
      <c r="A1313" t="n">
        <v>1480</v>
      </c>
      <c r="B1313" t="inlineStr">
        <is>
          <t>As a home owner I want to recieve a text message at any point during the day when my electricity and water usage exceeds an acceptable level so that my utility bill isn't unpredictable or greater than i'm willing to pay .</t>
        </is>
      </c>
    </row>
    <row r="1314">
      <c r="A1314" t="n">
        <v>1481</v>
      </c>
      <c r="B1314" t="inlineStr">
        <is>
          <t>As a parent I want security windows that will change transparency and darken while I am away. so that my house will be more secure to thieves..</t>
        </is>
      </c>
    </row>
    <row r="1315">
      <c r="A1315" t="n">
        <v>1483</v>
      </c>
      <c r="B1315" t="inlineStr">
        <is>
          <t>As a home owner I want my water heater to turn on at 3 am monday through friday so that Have hot water ready for my morning shower at 330am.</t>
        </is>
      </c>
    </row>
    <row r="1316">
      <c r="A1316" t="n">
        <v>1484</v>
      </c>
      <c r="B1316" t="inlineStr">
        <is>
          <t>As a home occupant I want my TV to be able to judge my mood that day and be able to play what will interest me most, so that I will be able to relax easier at the end of the day..</t>
        </is>
      </c>
    </row>
    <row r="1317">
      <c r="A1317" t="n">
        <v>1485</v>
      </c>
      <c r="B1317" t="inlineStr">
        <is>
          <t>As a home occupant I want my windows to be open whenever the weather is temperate (between 60 and 75 degrees F) so that I can automatically breathe fresh air when it wouldn't be extremely costly to do so.</t>
        </is>
      </c>
    </row>
    <row r="1318">
      <c r="A1318" t="n">
        <v>1486</v>
      </c>
      <c r="B1318" t="inlineStr">
        <is>
          <t>As a smart home owner I want the option to unlock the front door from an app or remote when visitor has been verified from an auditory system. so that I do not have to walk to the door to let in a welcomed guest.</t>
        </is>
      </c>
    </row>
    <row r="1319">
      <c r="A1319" t="n">
        <v>1487</v>
      </c>
      <c r="B1319" t="inlineStr">
        <is>
          <t>As a parent I want my kids monitoring system, during nights, to check weather they have a sound sleep so that it helps me to understand their mental and physical health..</t>
        </is>
      </c>
    </row>
    <row r="1320">
      <c r="A1320" t="n">
        <v>1488</v>
      </c>
      <c r="B1320" t="inlineStr">
        <is>
          <t>As a health nut I want something in the kitchen to track my weight and calorie intake so that I can keep in shape.</t>
        </is>
      </c>
    </row>
    <row r="1321">
      <c r="A1321" t="n">
        <v>1489</v>
      </c>
      <c r="B1321" t="inlineStr">
        <is>
          <t>As a home occupant I want an oven that will learn when I am home from work and turn itself on to warm my dinner so that I will not have to worry about it aftera long day..</t>
        </is>
      </c>
    </row>
    <row r="1322">
      <c r="A1322" t="n">
        <v>1490</v>
      </c>
      <c r="B1322" t="inlineStr">
        <is>
          <t>As a home occupant I want Alarm clock to turn the light lights on, slowly increasing the amount of light so that Am woken up slowly.</t>
        </is>
      </c>
    </row>
    <row r="1323">
      <c r="A1323" t="n">
        <v>1491</v>
      </c>
      <c r="B1323" t="inlineStr">
        <is>
          <t>As a home occupant I want the speaker system to detect different moods to change music accordingly (if playing). so that I can enjoy the right music at the right time..</t>
        </is>
      </c>
    </row>
    <row r="1324">
      <c r="A1324" t="n">
        <v>1492</v>
      </c>
      <c r="B1324" t="inlineStr">
        <is>
          <t>As a home occupant I want My refrigerator to notify me on my smartphone that its stock needs to replenished. so that So that I could stock it up with the things I needs most, and never run out of the same. .</t>
        </is>
      </c>
    </row>
    <row r="1325">
      <c r="A1325" t="n">
        <v>1493</v>
      </c>
      <c r="B1325" t="inlineStr">
        <is>
          <t>As a parent I want kitchen safety system to get automatically on after 10:00 PM so that my kids as well my total family is safe during nights..</t>
        </is>
      </c>
    </row>
    <row r="1326">
      <c r="A1326" t="n">
        <v>1494</v>
      </c>
      <c r="B1326" t="inlineStr">
        <is>
          <t>As a home occupant I want sensors on the doors and windows so that we know when someone is entering the house.</t>
        </is>
      </c>
    </row>
    <row r="1327">
      <c r="A1327" t="n">
        <v>1495</v>
      </c>
      <c r="B1327" t="inlineStr">
        <is>
          <t>As a pet owner I want my smart home to open the back door whenever it detects my dog's presence for longer than 3 minutes so that my dog is able to relieve itself outside without a long waiting period. .</t>
        </is>
      </c>
    </row>
    <row r="1328">
      <c r="A1328" t="n">
        <v>1496</v>
      </c>
      <c r="B1328" t="inlineStr">
        <is>
          <t>As a home owner I want Smart receptacles that stop the flow of current to plugged in items when not in use so that electricity is saved as well as money.</t>
        </is>
      </c>
    </row>
    <row r="1329">
      <c r="A1329" t="n">
        <v>1497</v>
      </c>
      <c r="B1329" t="inlineStr">
        <is>
          <t>As a home occupant I want The outside lights to come one when I arrive in the parking lot. so that I have the added security when i arrive home..</t>
        </is>
      </c>
    </row>
    <row r="1330">
      <c r="A1330" t="n">
        <v>1498</v>
      </c>
      <c r="B1330" t="inlineStr">
        <is>
          <t>As a parent I want doors and windows to be shut after 10:00 Pm at night so that we are safe at home from theft.</t>
        </is>
      </c>
    </row>
    <row r="1331">
      <c r="A1331" t="n">
        <v>1499</v>
      </c>
      <c r="B1331" t="inlineStr">
        <is>
          <t>As a old movie lover I want to recieve text notification of new movies that match my viewing criteria are added to an online library so that I can stream the movie at home.</t>
        </is>
      </c>
    </row>
    <row r="1332">
      <c r="A1332" t="n">
        <v>1500</v>
      </c>
      <c r="B1332" t="inlineStr">
        <is>
          <t>As a home occupant I want a washer/dryer combo that will be controlled by my phone or mobile device to do my laundry at set times so that I won't have to worry about it..</t>
        </is>
      </c>
    </row>
    <row r="1333">
      <c r="A1333" t="n">
        <v>1501</v>
      </c>
      <c r="B1333" t="inlineStr">
        <is>
          <t>As a pet owner I want a door that will allow my pets to go out or in by recognition. so that it will prevent other unwanted guests from entering..</t>
        </is>
      </c>
    </row>
    <row r="1334">
      <c r="A1334" t="n">
        <v>1502</v>
      </c>
      <c r="B1334" t="inlineStr">
        <is>
          <t>As a home occupant I want my smart home to alert me whenever a presence is detected on the downstairs level when I've recorded that I am upstairs for the night so that I can feel safe living alone and know if an intruder has entered my house. .</t>
        </is>
      </c>
    </row>
    <row r="1335">
      <c r="A1335" t="n">
        <v>1503</v>
      </c>
      <c r="B1335" t="inlineStr">
        <is>
          <t>As a home owner I want a sensor to tell me when and what my lawn needs to be healthy so that I always have a nice lawn.</t>
        </is>
      </c>
    </row>
    <row r="1336">
      <c r="A1336" t="n">
        <v>1504</v>
      </c>
      <c r="B1336" t="inlineStr">
        <is>
          <t>As a home owner I want all power usage to be turned down when no one is home. so that the wasteful use of energy .</t>
        </is>
      </c>
    </row>
    <row r="1337">
      <c r="A1337" t="n">
        <v>1505</v>
      </c>
      <c r="B1337" t="inlineStr">
        <is>
          <t>As a pet owner I want a SMART Home option that will allow my pet to walk to the door, bark, and a dog door raises to let them out so that it will keep unwanted animals from aimlessly wandering into your house..</t>
        </is>
      </c>
    </row>
    <row r="1338">
      <c r="A1338" t="n">
        <v>1506</v>
      </c>
      <c r="B1338" t="inlineStr">
        <is>
          <t>As a parent I want a crib that will sense any disturbances in my baby's sleep, including crying or needing a diaper change so that I will know my baby is resting comfortably..</t>
        </is>
      </c>
    </row>
    <row r="1339">
      <c r="A1339" t="n">
        <v>1507</v>
      </c>
      <c r="B1339" t="inlineStr">
        <is>
          <t>As a home owner I want a shower that will adjust the water temperature automatically to preferred temperatures. so that depending on the room's temperature, the water will be just right..</t>
        </is>
      </c>
    </row>
    <row r="1340">
      <c r="A1340" t="n">
        <v>1508</v>
      </c>
      <c r="B1340" t="inlineStr">
        <is>
          <t>As a home owner I want to be alerted to any intruders to my property so that I can be safe in my home.</t>
        </is>
      </c>
    </row>
    <row r="1341">
      <c r="A1341" t="n">
        <v>1509</v>
      </c>
      <c r="B1341" t="inlineStr">
        <is>
          <t>As a home occupant I want blinds that are powered by the sun, that open when it is sunny, and close when it's dark so that I can save electricity from constantly keeping the light on.</t>
        </is>
      </c>
    </row>
    <row r="1342">
      <c r="A1342" t="n">
        <v>1510</v>
      </c>
      <c r="B1342" t="inlineStr">
        <is>
          <t>As a home occupant I want my system to make sure the overhead tank is not empty so that we are not bothered about the water level .</t>
        </is>
      </c>
    </row>
    <row r="1343">
      <c r="A1343" t="n">
        <v>1511</v>
      </c>
      <c r="B1343" t="inlineStr">
        <is>
          <t>As a health enthusiast I want have a voice feature connected to my surround sound system at home that reminds me to exercise  so that i stay on track with my fitness goals .</t>
        </is>
      </c>
    </row>
    <row r="1344">
      <c r="A1344" t="n">
        <v>1513</v>
      </c>
      <c r="B1344" t="inlineStr">
        <is>
          <t>As a home occupant I want to be able to view all my homes systems from my smart phone so that I can adjust these setting from anywhere..</t>
        </is>
      </c>
    </row>
    <row r="1345">
      <c r="A1345" t="n">
        <v>1514</v>
      </c>
      <c r="B1345" t="inlineStr">
        <is>
          <t>As a nanny I want my smart home to close off certain regions of the home while watching children by automatically moving sliding doors so that the children will remain safe and contained while playing within one area of the home. .</t>
        </is>
      </c>
    </row>
    <row r="1346">
      <c r="A1346" t="n">
        <v>1515</v>
      </c>
      <c r="B1346" t="inlineStr">
        <is>
          <t>As a gamer I want smart box to manage internet cabling so that I can change how the internet is wired in the house.</t>
        </is>
      </c>
    </row>
    <row r="1347">
      <c r="A1347" t="n">
        <v>1516</v>
      </c>
      <c r="B1347" t="inlineStr">
        <is>
          <t>As a home gardener I want my smart home to sense when the soil in the front and back yards are are dry, so that it can turn on and off the watering system according to specified seasons and temps to save water and energy..</t>
        </is>
      </c>
    </row>
    <row r="1348">
      <c r="A1348" t="n">
        <v>1517</v>
      </c>
      <c r="B1348" t="inlineStr">
        <is>
          <t>As a home owner I want to be able to monitor my home while away so that I can check that things are okay.</t>
        </is>
      </c>
    </row>
    <row r="1349">
      <c r="A1349" t="n">
        <v>1518</v>
      </c>
      <c r="B1349" t="inlineStr">
        <is>
          <t>As a home occupant I want a feature that will scan my toothbrush and remind me when to replace it so that I won't forget..</t>
        </is>
      </c>
    </row>
    <row r="1350">
      <c r="A1350" t="n">
        <v>1519</v>
      </c>
      <c r="B1350" t="inlineStr">
        <is>
          <t>As a parent I want Cameras with recognition so that any unrecognizable guest appearance will have a photo sent to my phone and/or email..</t>
        </is>
      </c>
    </row>
    <row r="1351">
      <c r="A1351" t="n">
        <v>1520</v>
      </c>
      <c r="B1351" t="inlineStr">
        <is>
          <t>As a parent I want understand the calories of food taken by my kids so that it helps me understand their requirement and as well check with their health..</t>
        </is>
      </c>
    </row>
    <row r="1352">
      <c r="A1352" t="n">
        <v>1521</v>
      </c>
      <c r="B1352" t="inlineStr">
        <is>
          <t>As a smart home owner I want the option to activate the opening and closing of window curtains by using a remote or smart phone application so that during the day the blinds can be open and closed when necessary without having to manually open and close them..</t>
        </is>
      </c>
    </row>
    <row r="1353">
      <c r="A1353" t="n">
        <v>1522</v>
      </c>
      <c r="B1353" t="inlineStr">
        <is>
          <t>As a busy homeowner I want to recieve text alerts if i leave my garage door open after leaving so that I dont leave my garage door open unknowingly.</t>
        </is>
      </c>
    </row>
    <row r="1354">
      <c r="A1354" t="n">
        <v>1523</v>
      </c>
      <c r="B1354" t="inlineStr">
        <is>
          <t>As a health conscious person I want My medicine pill holder to notify me about the pill that are going to expire so that So that I can replace the old one and purchase new one..</t>
        </is>
      </c>
    </row>
    <row r="1355">
      <c r="A1355" t="n">
        <v>1524</v>
      </c>
      <c r="B1355" t="inlineStr">
        <is>
          <t>As a aunt I want safety outlets so that to prevent my nieces and nephews from getting shocked.</t>
        </is>
      </c>
    </row>
    <row r="1356">
      <c r="A1356" t="n">
        <v>1525</v>
      </c>
      <c r="B1356" t="inlineStr">
        <is>
          <t>As a home owner I want I want a device that regulates the water flow of faucets and toilets so that I can save water.</t>
        </is>
      </c>
    </row>
    <row r="1357">
      <c r="A1357" t="n">
        <v>1526</v>
      </c>
      <c r="B1357" t="inlineStr">
        <is>
          <t>As a gardener I want my water sprinklers to automatically water the plants at home, so that the moisture in the plants is well maintained all the time..</t>
        </is>
      </c>
    </row>
    <row r="1358">
      <c r="A1358" t="n">
        <v>1527</v>
      </c>
      <c r="B1358" t="inlineStr">
        <is>
          <t>As a home occupant I want my smart home to play a specific playlist or genre of music when I verbally tell my sound system what mood I am in so that I can enjoy mood appropriate music throughout the house. .</t>
        </is>
      </c>
    </row>
    <row r="1359">
      <c r="A1359" t="n">
        <v>1528</v>
      </c>
      <c r="B1359" t="inlineStr">
        <is>
          <t>As a home occupant I want Smart sender bell so that When I came to home the door identify my finger print.</t>
        </is>
      </c>
    </row>
    <row r="1360">
      <c r="A1360" t="n">
        <v>1529</v>
      </c>
      <c r="B1360" t="inlineStr">
        <is>
          <t>As a home occupant I want electric blanket to be turned one 30 min before I go to bed, so that it is warm when I get into bed..</t>
        </is>
      </c>
    </row>
    <row r="1361">
      <c r="A1361" t="n">
        <v>1530</v>
      </c>
      <c r="B1361" t="inlineStr">
        <is>
          <t>As a parent I want monitoring system for my television, about which channel are preferred by my kids so that to understand the interest of my kids.</t>
        </is>
      </c>
    </row>
    <row r="1362">
      <c r="A1362" t="n">
        <v>1531</v>
      </c>
      <c r="B1362" t="inlineStr">
        <is>
          <t>As a home occupant I want my smart home to learn when I am not around and to turn off unnecessary items like TVs, coffeemaker, radio, etc. so that it will save me on electricity.</t>
        </is>
      </c>
    </row>
    <row r="1363">
      <c r="A1363" t="n">
        <v>1532</v>
      </c>
      <c r="B1363" t="inlineStr">
        <is>
          <t>As a health conscious person I want My medicine pill holder to notify me that new pills need to be purchased. so that So that I can purchase new pills..</t>
        </is>
      </c>
    </row>
    <row r="1364">
      <c r="A1364" t="n">
        <v>1533</v>
      </c>
      <c r="B1364" t="inlineStr">
        <is>
          <t>As a home owner I want a device that can protect my airspace from drones so that I can feel safe in my privacy.</t>
        </is>
      </c>
    </row>
    <row r="1365">
      <c r="A1365" t="n">
        <v>1534</v>
      </c>
      <c r="B1365" t="inlineStr">
        <is>
          <t>As a parent I want the deviation in temperature of my kids at home so that understand well about their health.</t>
        </is>
      </c>
    </row>
    <row r="1366">
      <c r="A1366" t="n">
        <v>1535</v>
      </c>
      <c r="B1366" t="inlineStr">
        <is>
          <t>As a home occupant I want my smart home to turn on fans automatically when stagnant air is detected  so that I can experience proper air flow and reduce discomfort. .</t>
        </is>
      </c>
    </row>
    <row r="1367">
      <c r="A1367" t="n">
        <v>1536</v>
      </c>
      <c r="B1367" t="inlineStr">
        <is>
          <t>As a cold natured person I want to have my heat turn itself on if the temperature outside dips below a certain level so that when i come home its warm.</t>
        </is>
      </c>
    </row>
    <row r="1368">
      <c r="A1368" t="n">
        <v>1537</v>
      </c>
      <c r="B1368" t="inlineStr">
        <is>
          <t>As a parent I want a sensor in my children's play area that will sound an alarm if someone is hurt so that I may rest easy knowing that my children are safe..</t>
        </is>
      </c>
    </row>
    <row r="1369">
      <c r="A1369" t="n">
        <v>1538</v>
      </c>
      <c r="B1369" t="inlineStr">
        <is>
          <t>As a energy conscious occupant I want smart thermostat so that the temperatures in each room stay regulated at all times.</t>
        </is>
      </c>
    </row>
    <row r="1370">
      <c r="A1370" t="n">
        <v>1539</v>
      </c>
      <c r="B1370" t="inlineStr">
        <is>
          <t>As a home occupant I want my child TV to automatically turn off a set time,  so that so they don't watch too much TV..</t>
        </is>
      </c>
    </row>
    <row r="1371">
      <c r="A1371" t="n">
        <v>1540</v>
      </c>
      <c r="B1371" t="inlineStr">
        <is>
          <t>As a home owner I want a roof made of solar panels that functions as a roof and an energy source so that I can save electricity and money.</t>
        </is>
      </c>
    </row>
    <row r="1372">
      <c r="A1372" t="n">
        <v>1541</v>
      </c>
      <c r="B1372" t="inlineStr">
        <is>
          <t>As a home owner I want a smart detector for lethal gases or smoke to go to my email and/or phone so that even when I am not around I will be notified immediately..</t>
        </is>
      </c>
    </row>
    <row r="1373">
      <c r="A1373" t="n">
        <v>1542</v>
      </c>
      <c r="B1373" t="inlineStr">
        <is>
          <t>As a wife I want database of my husband's blood sugar and pressure  so that i can help him keep his health appropiately.</t>
        </is>
      </c>
    </row>
    <row r="1374">
      <c r="A1374" t="n">
        <v>1543</v>
      </c>
      <c r="B1374" t="inlineStr">
        <is>
          <t>As a parent I want Smart camera gps so that I can seen where my child is.</t>
        </is>
      </c>
    </row>
    <row r="1375">
      <c r="A1375" t="n">
        <v>1544</v>
      </c>
      <c r="B1375" t="inlineStr">
        <is>
          <t>As a home occupant I want a speaker at the door that asks a person to name himself before he rings the door bell, so that I don't need to always see through the peephole.</t>
        </is>
      </c>
    </row>
    <row r="1376">
      <c r="A1376" t="n">
        <v>1545</v>
      </c>
      <c r="B1376" t="inlineStr">
        <is>
          <t>As a home occupant I want remote smoke detectors so that we will be alerted if they are triggered.</t>
        </is>
      </c>
    </row>
    <row r="1377">
      <c r="A1377" t="n">
        <v>1546</v>
      </c>
      <c r="B1377" t="inlineStr">
        <is>
          <t>As a home occupant I want the temperature to be adjusted in individual rooms so that I don't have to wait to heat or cool the whole house and waste time and money when there is only a few people inside..</t>
        </is>
      </c>
    </row>
    <row r="1378">
      <c r="A1378" t="n">
        <v>1547</v>
      </c>
      <c r="B1378" t="inlineStr">
        <is>
          <t>As a home occupant I want my smart home to alert me when a single electronic device or source is requiring a significant amount of electricity  so that I can reduce or eliminate unnecessary electric bill costs and save energy.</t>
        </is>
      </c>
    </row>
    <row r="1379">
      <c r="A1379" t="n">
        <v>1548</v>
      </c>
      <c r="B1379" t="inlineStr">
        <is>
          <t>As a pet owner I want a sensor that will sound an alarm if my dog escapes through the fenced backyard or something happens to hurt my pet so that I will be confident they are safe outside..</t>
        </is>
      </c>
    </row>
    <row r="1380">
      <c r="A1380" t="n">
        <v>1549</v>
      </c>
      <c r="B1380" t="inlineStr">
        <is>
          <t>As a home occupant I want fire place turns one when I get home from work so that it will be warm and relaxing after work. .</t>
        </is>
      </c>
    </row>
    <row r="1381">
      <c r="A1381" t="n">
        <v>1550</v>
      </c>
      <c r="B1381" t="inlineStr">
        <is>
          <t>As a pet owner I want a pet bed that will automatically warm or cool depending on the temperature of the pet so that my pet will always be in comfort.</t>
        </is>
      </c>
    </row>
    <row r="1382">
      <c r="A1382" t="n">
        <v>1551</v>
      </c>
      <c r="B1382" t="inlineStr">
        <is>
          <t>As a home occupant I want My door cam needs to notify me when this is unusual activity outside, example more than 3-4 person approaching the house so that so that I am vigilant about any dangers..</t>
        </is>
      </c>
    </row>
    <row r="1383">
      <c r="A1383" t="n">
        <v>1552</v>
      </c>
      <c r="B1383" t="inlineStr">
        <is>
          <t>As a home maker I want the temperature of the house to be maintained and as well inform on the temperature outside so that my family people health is kept at control.</t>
        </is>
      </c>
    </row>
    <row r="1384">
      <c r="A1384" t="n">
        <v>1553</v>
      </c>
      <c r="B1384" t="inlineStr">
        <is>
          <t>As a home owner I want a device that keeps track of maintenance issues around the house so that I know when I may need to replace things such as water heater, roof .</t>
        </is>
      </c>
    </row>
    <row r="1385">
      <c r="A1385" t="n">
        <v>1554</v>
      </c>
      <c r="B1385" t="inlineStr">
        <is>
          <t>As a home occupant I want My fish tank needs to monitor and notify that  ample fish food is present in the tank so that So that I can refill the stock..</t>
        </is>
      </c>
    </row>
    <row r="1386">
      <c r="A1386" t="n">
        <v>1555</v>
      </c>
      <c r="B1386" t="inlineStr">
        <is>
          <t>As a home occupant I want automatically closing curtains or blinds in areas where I might be changing or bathing so that I will know no one is peeking in..</t>
        </is>
      </c>
    </row>
    <row r="1387">
      <c r="A1387" t="n">
        <v>1556</v>
      </c>
      <c r="B1387" t="inlineStr">
        <is>
          <t>As a home occupant I want interior motion sensors so that if door and window sensors fail we will still be alerted to activity in the home.</t>
        </is>
      </c>
    </row>
    <row r="1388">
      <c r="A1388" t="n">
        <v>1557</v>
      </c>
      <c r="B1388" t="inlineStr">
        <is>
          <t>As a chef I want a stove that has a screen with built in recipes, can add recipes, and automatically preheats and times the food by recipe so that I don't have to use a book or laptop, and the stove can program the time and heat itself.</t>
        </is>
      </c>
    </row>
    <row r="1389">
      <c r="A1389" t="n">
        <v>1558</v>
      </c>
      <c r="B1389" t="inlineStr">
        <is>
          <t>As a pet owner I want smart sensor that automatically detects my pet's location in the house, so that I don't need to always watch out for her whereabouts..</t>
        </is>
      </c>
    </row>
    <row r="1390">
      <c r="A1390" t="n">
        <v>1559</v>
      </c>
      <c r="B1390" t="inlineStr">
        <is>
          <t>As a home maker I want i want to understand the temperature and blood pressure of my family members so that which would help me to understand their mood swings.</t>
        </is>
      </c>
    </row>
    <row r="1391">
      <c r="A1391" t="n">
        <v>1560</v>
      </c>
      <c r="B1391" t="inlineStr">
        <is>
          <t>As a home occupant I want My fish tank needs to monitor and notify that  if there are any dead fish so that So that i can replace it, and clear the tank. .</t>
        </is>
      </c>
    </row>
    <row r="1392">
      <c r="A1392" t="n">
        <v>1561</v>
      </c>
      <c r="B1392" t="inlineStr">
        <is>
          <t>As a home owner I want Paint sensor so that So it can notify that my house needs some paint or maintainance.</t>
        </is>
      </c>
    </row>
    <row r="1393">
      <c r="A1393" t="n">
        <v>1562</v>
      </c>
      <c r="B1393" t="inlineStr">
        <is>
          <t>As a home occupant I want my smart home to have motion detecting lights in every room to be at full light when I am present and dim after I have left the room  so that I can experience well lit rooms but not have to worry about turning on or off the lights, while being energy efficient. .</t>
        </is>
      </c>
    </row>
    <row r="1394">
      <c r="A1394" t="n">
        <v>1563</v>
      </c>
      <c r="B1394" t="inlineStr">
        <is>
          <t>As a home owner I want a device that can monitor my well being and health so that I will be alerted to changes in my health.</t>
        </is>
      </c>
    </row>
    <row r="1395">
      <c r="A1395" t="n">
        <v>1564</v>
      </c>
      <c r="B1395" t="inlineStr">
        <is>
          <t>As a pet owner I want a wall feature that the pet can come to for a video call. so that I can see my pet whenever i am out of the house..</t>
        </is>
      </c>
    </row>
    <row r="1396">
      <c r="A1396" t="n">
        <v>1566</v>
      </c>
      <c r="B1396" t="inlineStr">
        <is>
          <t>As a home occupant I want my things in home to be safe  and turned off all lights so that make safe of all my things on home and live safe.</t>
        </is>
      </c>
    </row>
    <row r="1397">
      <c r="A1397" t="n">
        <v>1567</v>
      </c>
      <c r="B1397" t="inlineStr">
        <is>
          <t>As a home occupant I want answering machine to play message when I walk into that  room so that I don't miss anything important..</t>
        </is>
      </c>
    </row>
    <row r="1398">
      <c r="A1398" t="n">
        <v>1568</v>
      </c>
      <c r="B1398" t="inlineStr">
        <is>
          <t>As a parent I want my fridge to identify my children by age and height and have a pre-prepared snack ready in a door for hem so that I know they are eating the healthiest snacks possible..</t>
        </is>
      </c>
    </row>
    <row r="1399">
      <c r="A1399" t="n">
        <v>1569</v>
      </c>
      <c r="B1399" t="inlineStr">
        <is>
          <t>As a cleaner I want auto vacuum so that it will keep the floors clean at all times.</t>
        </is>
      </c>
    </row>
    <row r="1400">
      <c r="A1400" t="n">
        <v>1570</v>
      </c>
      <c r="B1400" t="inlineStr">
        <is>
          <t>As a home owner I want a device that show me deficiencies my home may have in it's efficiency so that I can be more energy concious and efficient .</t>
        </is>
      </c>
    </row>
    <row r="1401">
      <c r="A1401" t="n">
        <v>1571</v>
      </c>
      <c r="B1401" t="inlineStr">
        <is>
          <t>As a home owner I want Smart ac so that When I came to home according to outside environment it got adjusted automatically.</t>
        </is>
      </c>
    </row>
    <row r="1402">
      <c r="A1402" t="n">
        <v>1572</v>
      </c>
      <c r="B1402" t="inlineStr">
        <is>
          <t>As a parent I want a smart computer that changes its setting according to the person who uses it so that I don't need to put up parental settings all the time..</t>
        </is>
      </c>
    </row>
    <row r="1403">
      <c r="A1403" t="n">
        <v>1573</v>
      </c>
      <c r="B1403" t="inlineStr">
        <is>
          <t>As a smart home owner I want to have the option to turn on digital electronics from a centralized CPU so that I can save time and hassle when looking for remote controllers.</t>
        </is>
      </c>
    </row>
    <row r="1404">
      <c r="A1404" t="n">
        <v>1574</v>
      </c>
      <c r="B1404" t="inlineStr">
        <is>
          <t>As a home occupant I want The electric switch should automatically  switch off lights, fans and TV when there is no one at home. so that So that I save on electric bills..</t>
        </is>
      </c>
    </row>
    <row r="1405">
      <c r="A1405" t="n">
        <v>1575</v>
      </c>
      <c r="B1405" t="inlineStr">
        <is>
          <t>As a pet owner I want my smart home to allot food to my pets in relationship to their tracked expended energy as determined by their collars and movement so that my pets will receive more food appropriately when they have been especially active and will be hungry. .</t>
        </is>
      </c>
    </row>
    <row r="1406">
      <c r="A1406" t="n">
        <v>1576</v>
      </c>
      <c r="B1406" t="inlineStr">
        <is>
          <t>As a pet owner I want automated food and water dishes so that my dogs will have food and water at all times.</t>
        </is>
      </c>
    </row>
    <row r="1407">
      <c r="A1407" t="n">
        <v>1577</v>
      </c>
      <c r="B1407" t="inlineStr">
        <is>
          <t>As a home occupant I want Smart tv so that That can run with voice.</t>
        </is>
      </c>
    </row>
    <row r="1408">
      <c r="A1408" t="n">
        <v>1578</v>
      </c>
      <c r="B1408" t="inlineStr">
        <is>
          <t>As a home owner I want to recieve text notification if water continually runs after a certain number of minutes so that i don't recieve an excessively high water bill.</t>
        </is>
      </c>
    </row>
    <row r="1409">
      <c r="A1409" t="n">
        <v>1579</v>
      </c>
      <c r="B1409" t="inlineStr">
        <is>
          <t>As a parent I want added motion security to the perimeter of the yard so that anyone who is approaching will notify me in case they are unwanted.</t>
        </is>
      </c>
    </row>
    <row r="1410">
      <c r="A1410" t="n">
        <v>1580</v>
      </c>
      <c r="B1410" t="inlineStr">
        <is>
          <t>As a home occupant I want a voice activated remote for the TV that can change channels using your voice or beep when misplaced so that if it gets lost in the room, you can still use it by saying a channel number or using the locator.</t>
        </is>
      </c>
    </row>
    <row r="1411">
      <c r="A1411" t="n">
        <v>1581</v>
      </c>
      <c r="B1411" t="inlineStr">
        <is>
          <t>As a smart home owner I want the ability to analyze energy consumption by CPU or smart phone so that I can determine which rooms and devices are consuming the most energy..</t>
        </is>
      </c>
    </row>
    <row r="1412">
      <c r="A1412" t="n">
        <v>1582</v>
      </c>
      <c r="B1412" t="inlineStr">
        <is>
          <t>As a home occupant I want smart tag that I can attach to my car keys, so that I don't need to search for them when they are lost..</t>
        </is>
      </c>
    </row>
    <row r="1413">
      <c r="A1413" t="n">
        <v>1584</v>
      </c>
      <c r="B1413" t="inlineStr">
        <is>
          <t>As a home owner I want Sensor so that When I touch it it can calculate how many people are inside the room.</t>
        </is>
      </c>
    </row>
    <row r="1414">
      <c r="A1414" t="n">
        <v>1585</v>
      </c>
      <c r="B1414" t="inlineStr">
        <is>
          <t>As a home owner I want recieve calendar/updates updates speak through my surround sound system so that i dont lose track of time and miss appointments.</t>
        </is>
      </c>
    </row>
    <row r="1415">
      <c r="A1415" t="n">
        <v>1586</v>
      </c>
      <c r="B1415" t="inlineStr">
        <is>
          <t>As a parent I want my smart home to make available premade healthy snack options to my children after school so that my children may readily have food to eat when hungry, but not be able to eat the unhealthy options if not supervised. .</t>
        </is>
      </c>
    </row>
    <row r="1416">
      <c r="A1416" t="n">
        <v>1587</v>
      </c>
      <c r="B1416" t="inlineStr">
        <is>
          <t>As a home occupant I want geyser that automatically adjusts to optimal temperature settings, so that I don't need to worry about burning my skin..</t>
        </is>
      </c>
    </row>
    <row r="1417">
      <c r="A1417" t="n">
        <v>1588</v>
      </c>
      <c r="B1417" t="inlineStr">
        <is>
          <t>As a home occupant I want to cut off water flow  so that water is saved and power consumption.</t>
        </is>
      </c>
    </row>
    <row r="1418">
      <c r="A1418" t="n">
        <v>1589</v>
      </c>
      <c r="B1418" t="inlineStr">
        <is>
          <t>As a home occupant I want an automated wake up call to my cell phone so that it can get me up and have the coffee start to brew, temperature adjusted, car started, etc to save time in the morning getting ready for work.</t>
        </is>
      </c>
    </row>
    <row r="1419">
      <c r="A1419" t="n">
        <v>1590</v>
      </c>
      <c r="B1419" t="inlineStr">
        <is>
          <t>As a pet owner I want artificial, self cleaning pet area so that during long work days, the puppy has a place that can be used like outside and then it is robotically cleaned..</t>
        </is>
      </c>
    </row>
    <row r="1420">
      <c r="A1420" t="n">
        <v>1591</v>
      </c>
      <c r="B1420" t="inlineStr">
        <is>
          <t>As a person trying to eat more healthy I want a drawer in the fridge with a setting that makes fruits and veggies stay fresh for longer so that I can eat them all before they go bad.</t>
        </is>
      </c>
    </row>
    <row r="1421">
      <c r="A1421" t="n">
        <v>1592</v>
      </c>
      <c r="B1421" t="inlineStr">
        <is>
          <t>As a gardener I want Smart watering  so that If I am outside water plant on some specific time.</t>
        </is>
      </c>
    </row>
    <row r="1422">
      <c r="A1422" t="n">
        <v>1593</v>
      </c>
      <c r="B1422" t="inlineStr">
        <is>
          <t>As a home occupant I want My WiFi router to notify me on my smartphone if someone tried to unauthorizedly access it. so that so that I am safe from hackers and intruders..</t>
        </is>
      </c>
    </row>
    <row r="1423">
      <c r="A1423" t="n">
        <v>1594</v>
      </c>
      <c r="B1423" t="inlineStr">
        <is>
          <t>As a car driver I want an auto-eject feature in my car, so that I am automatically ejected from the vehicle if something hits it..</t>
        </is>
      </c>
    </row>
    <row r="1424">
      <c r="A1424" t="n">
        <v>1595</v>
      </c>
      <c r="B1424" t="inlineStr">
        <is>
          <t>As a smart home owner I want to have the option to dim tinting on windows using smart tint digital technology so that I could do away with blinds and still control light penetration.</t>
        </is>
      </c>
    </row>
    <row r="1425">
      <c r="A1425" t="n">
        <v>1597</v>
      </c>
      <c r="B1425" t="inlineStr">
        <is>
          <t>As a home occupant I want my things in home to be safe  and turned off all lights  so that make safe of all my things on home and live safe .</t>
        </is>
      </c>
    </row>
    <row r="1426">
      <c r="A1426" t="n">
        <v>1598</v>
      </c>
      <c r="B1426" t="inlineStr">
        <is>
          <t>As a parent I want Smart alert so that I can know my child is present in class.</t>
        </is>
      </c>
    </row>
    <row r="1427">
      <c r="A1427" t="n">
        <v>1599</v>
      </c>
      <c r="B1427" t="inlineStr">
        <is>
          <t>As a food lover I want to have recipe tutorials viewable through my tv at the time i usually prepare dinner so that i can receive instruction to try new meals .</t>
        </is>
      </c>
    </row>
    <row r="1428">
      <c r="A1428" t="n">
        <v>1600</v>
      </c>
      <c r="B1428" t="inlineStr">
        <is>
          <t>As a home occupant I want automatic windows that open up by themselves each morning, so that I don't need to open and close them manually everyday..</t>
        </is>
      </c>
    </row>
    <row r="1429">
      <c r="A1429" t="n">
        <v>1602</v>
      </c>
      <c r="B1429" t="inlineStr">
        <is>
          <t>As a home occupant I want Feature to notify health issue so that I can detect do I need medicine.</t>
        </is>
      </c>
    </row>
    <row r="1430">
      <c r="A1430" t="n">
        <v>1603</v>
      </c>
      <c r="B1430" t="inlineStr">
        <is>
          <t>As a home occupant I want a device which automatically monitors and sweeps the floor. so that so that my floor remains clean.</t>
        </is>
      </c>
    </row>
    <row r="1431">
      <c r="A1431" t="n">
        <v>1604</v>
      </c>
      <c r="B1431" t="inlineStr">
        <is>
          <t>As a home occupant I want the refrigerator to remind me went we're low on a certain item(s) so that we can stop and get it on the way home and save trips to the store.</t>
        </is>
      </c>
    </row>
    <row r="1432">
      <c r="A1432" t="n">
        <v>1605</v>
      </c>
      <c r="B1432" t="inlineStr">
        <is>
          <t>As a smart home owner I want Food making machine so that so that I can use an app and send instructions on a pre-selected list of dishes.</t>
        </is>
      </c>
    </row>
    <row r="1433">
      <c r="A1433" t="n">
        <v>1606</v>
      </c>
      <c r="B1433" t="inlineStr">
        <is>
          <t>As a student I want automatic recorder that records all my conversations and automatically picks up the thing-to-do so that I don't need to keep reminders..</t>
        </is>
      </c>
    </row>
    <row r="1434">
      <c r="A1434" t="n">
        <v>1607</v>
      </c>
      <c r="B1434" t="inlineStr">
        <is>
          <t>As a home occupant I want heated shower curtains that keep the steam/heat inside the shower so that I'm not cold too quickly when showering.</t>
        </is>
      </c>
    </row>
    <row r="1435">
      <c r="A1435" t="n">
        <v>1608</v>
      </c>
      <c r="B1435" t="inlineStr">
        <is>
          <t>As a home owner I want Locker so that That nobody can open except me.</t>
        </is>
      </c>
    </row>
    <row r="1436">
      <c r="A1436" t="n">
        <v>1609</v>
      </c>
      <c r="B1436" t="inlineStr">
        <is>
          <t>As a home occupant I want to watch different channels at same time with time change so that watch more channels with more peoples on their choice.</t>
        </is>
      </c>
    </row>
    <row r="1437">
      <c r="A1437" t="n">
        <v>1610</v>
      </c>
      <c r="B1437" t="inlineStr">
        <is>
          <t>As a health enthusiast I want to recieve voice commands set to tell me how many calories my dinner can consist of so that i can meet my daily calorie consumption target.</t>
        </is>
      </c>
    </row>
    <row r="1438">
      <c r="A1438" t="n">
        <v>1611</v>
      </c>
      <c r="B1438" t="inlineStr">
        <is>
          <t>As a smart home owner I want to have standard automatic floor cleaning so that housework can be kept up with minimal effort.</t>
        </is>
      </c>
    </row>
    <row r="1439">
      <c r="A1439" t="n">
        <v>1613</v>
      </c>
      <c r="B1439" t="inlineStr">
        <is>
          <t>As a home occupant I want to check my food to be healthy and things which we buy is organic so that it makes us healthy.</t>
        </is>
      </c>
    </row>
    <row r="1440">
      <c r="A1440" t="n">
        <v>1614</v>
      </c>
      <c r="B1440" t="inlineStr">
        <is>
          <t>As a home occupant I want a sensor for my house piping system that detects chokes and calls up my plumber so that I don't need to worry about the drain choking at home..</t>
        </is>
      </c>
    </row>
    <row r="1441">
      <c r="A1441" t="n">
        <v>1615</v>
      </c>
      <c r="B1441" t="inlineStr">
        <is>
          <t>As a smart home owner I want push to open doors so that I can mash a button and have the door open when my hands are full..</t>
        </is>
      </c>
    </row>
    <row r="1442">
      <c r="A1442" t="n">
        <v>1616</v>
      </c>
      <c r="B1442" t="inlineStr">
        <is>
          <t>As a pet owner I want to remind me when the birds needs to be feed so that so that they do not starve to death.</t>
        </is>
      </c>
    </row>
    <row r="1443">
      <c r="A1443" t="n">
        <v>1617</v>
      </c>
      <c r="B1443" t="inlineStr">
        <is>
          <t>As a home owner I want an auto door lock feature to lock my front door if i forget to lock it when leaving home so that i can lock my home when i'm not physically there.</t>
        </is>
      </c>
    </row>
    <row r="1444">
      <c r="A1444" t="n">
        <v>1618</v>
      </c>
      <c r="B1444" t="inlineStr">
        <is>
          <t>As a home occupant I want a garbage can that permanently masks the smell of garbage by deodorizing so that it smells nice.</t>
        </is>
      </c>
    </row>
    <row r="1445">
      <c r="A1445" t="n">
        <v>1619</v>
      </c>
      <c r="B1445" t="inlineStr">
        <is>
          <t>As a home occupant I want all the doors in the house to be under surveilance if no one is home so that if someone breaks in it could send me an alert and have video evidence of an intruder.</t>
        </is>
      </c>
    </row>
    <row r="1446">
      <c r="A1446" t="n">
        <v>1620</v>
      </c>
      <c r="B1446" t="inlineStr">
        <is>
          <t>As a home occupant I want to attend my phone which i kept inside home where i was in other place so that it makes easy if we miss to take it urgent calls.</t>
        </is>
      </c>
    </row>
    <row r="1447">
      <c r="A1447" t="n">
        <v>1621</v>
      </c>
      <c r="B1447" t="inlineStr">
        <is>
          <t>As a home occupant I want my smart home to alert me when I get mail inside the mailbox, and how many pieces there are so that I can see when I have mail.</t>
        </is>
      </c>
    </row>
    <row r="1448">
      <c r="A1448" t="n">
        <v>1623</v>
      </c>
      <c r="B1448" t="inlineStr">
        <is>
          <t>As a home occupant I want to lock and open my home when i was not there so that it makes our family members to go inside without keys.</t>
        </is>
      </c>
    </row>
    <row r="1449">
      <c r="A1449" t="n">
        <v>1624</v>
      </c>
      <c r="B1449" t="inlineStr">
        <is>
          <t>As a family head I want system to monitor my parents health so that to help them maintain their health.</t>
        </is>
      </c>
    </row>
    <row r="1450">
      <c r="A1450" t="n">
        <v>1625</v>
      </c>
      <c r="B1450" t="inlineStr">
        <is>
          <t>As a home occupant I want a laptop that opens most used programs every time it is turned on. so that I can save time.</t>
        </is>
      </c>
    </row>
    <row r="1451">
      <c r="A1451" t="n">
        <v>1626</v>
      </c>
      <c r="B1451" t="inlineStr">
        <is>
          <t>As a family member I want Need to technology to understand the change in behaviour of my aging parents so that to support them mentally and physically.</t>
        </is>
      </c>
    </row>
    <row r="1452">
      <c r="A1452" t="n">
        <v>1628</v>
      </c>
      <c r="B1452" t="inlineStr">
        <is>
          <t>As a party thrower I want to have monitored the beverages and foods my guests have the most so that I can easily buy more for the next time they come over.</t>
        </is>
      </c>
    </row>
    <row r="1453">
      <c r="A1453" t="n">
        <v>1629</v>
      </c>
      <c r="B1453" t="inlineStr">
        <is>
          <t>As a home occupant I want my home to be clean and fragrant when i was not there so that it makes feel better when we return from some journey.</t>
        </is>
      </c>
    </row>
    <row r="1454">
      <c r="A1454" t="n">
        <v>1630</v>
      </c>
      <c r="B1454" t="inlineStr">
        <is>
          <t>As a home occupant I want a coaster that keeps my beverage cold as if there was ice in it so that It can stay cold and I won't waste more water by refilling with ice.</t>
        </is>
      </c>
    </row>
    <row r="1455">
      <c r="A1455" t="n">
        <v>1631</v>
      </c>
      <c r="B1455" t="inlineStr">
        <is>
          <t>As a parent I want to understand the requirement of my kids, since being at office most of the time, I have less time to spend with them so that I can help my wife to groom my kids.</t>
        </is>
      </c>
    </row>
    <row r="1456">
      <c r="A1456" t="n">
        <v>1632</v>
      </c>
      <c r="B1456" t="inlineStr">
        <is>
          <t>As a home occupant I want to keep all my things where it placed previously so that it makes room clean.</t>
        </is>
      </c>
    </row>
    <row r="1457">
      <c r="A1457" t="n">
        <v>1633</v>
      </c>
      <c r="B1457" t="inlineStr">
        <is>
          <t>As a parent I want have a closer look at the kids internet surfing , timing, interest so that they dont get into wrong sites and get corrupted.</t>
        </is>
      </c>
    </row>
    <row r="1458">
      <c r="A1458" t="n">
        <v>1634</v>
      </c>
      <c r="B1458" t="inlineStr">
        <is>
          <t>As a husband I want to have a monitoring system for my kitchen equipments so that it helps my wife to be safe.</t>
        </is>
      </c>
    </row>
    <row r="1459">
      <c r="A1459" t="n">
        <v>1635</v>
      </c>
      <c r="B1459" t="inlineStr">
        <is>
          <t>As a home occupant I want a coffeepot that automatically makes coffee at 5AM, adds sugar and cream so that I can wake up to a nice cup of coffee.</t>
        </is>
      </c>
    </row>
    <row r="1460">
      <c r="A1460" t="n">
        <v>1636</v>
      </c>
      <c r="B1460" t="inlineStr">
        <is>
          <t>As a fitness freak I want to have the fridge look up the caloric and nutrition info on remaining foods in the fridge so that I can know what to avoid for the day/week.</t>
        </is>
      </c>
    </row>
    <row r="1461">
      <c r="A1461" t="n">
        <v>1637</v>
      </c>
      <c r="B1461" t="inlineStr">
        <is>
          <t>As a head of the family I want understand the health of my aging parents, like BP, sugar so that I can help them to keep their health properly.</t>
        </is>
      </c>
    </row>
    <row r="1462">
      <c r="A1462" t="n">
        <v>1639</v>
      </c>
      <c r="B1462" t="inlineStr">
        <is>
          <t>As a head of the family I want security system to alert me of unknown people getting into my house at my absence so that to safe guard my family members.</t>
        </is>
      </c>
    </row>
    <row r="1463">
      <c r="A1463" t="n">
        <v>1640</v>
      </c>
      <c r="B1463" t="inlineStr">
        <is>
          <t>As a medical professional I want to know if there have been unusual movement patterns in the house that might indicate a trauma so that help could be provided as soon as possible.</t>
        </is>
      </c>
    </row>
    <row r="1464">
      <c r="A1464" t="n">
        <v>1641</v>
      </c>
      <c r="B1464" t="inlineStr">
        <is>
          <t>As a home occupant I want I want a refrigerator that automatically monitors and purchases groceries that are low, so that I can save time from having to shop..</t>
        </is>
      </c>
    </row>
    <row r="1465">
      <c r="A1465" t="n">
        <v>1642</v>
      </c>
      <c r="B1465" t="inlineStr">
        <is>
          <t>As a movie watcher I want to remotely set up playlist of movies to watch on TV when we get home so that we can just sit down and relax together with little effort.</t>
        </is>
      </c>
    </row>
    <row r="1466">
      <c r="A1466" t="n">
        <v>1644</v>
      </c>
      <c r="B1466" t="inlineStr">
        <is>
          <t>As a parent I want understand the entertainment activity of my kids so that I can get them the best that is required.</t>
        </is>
      </c>
    </row>
    <row r="1467">
      <c r="A1467" t="n">
        <v>1645</v>
      </c>
      <c r="B1467" t="inlineStr">
        <is>
          <t>As a home occupant I want media devices in the house to be incorporated into a single ecosystem so that I could be on top of news, events and entertainment all the time.</t>
        </is>
      </c>
    </row>
    <row r="1468">
      <c r="A1468" t="n">
        <v>1646</v>
      </c>
      <c r="B1468" t="inlineStr">
        <is>
          <t>As a parent I want understand the mood swings of my kids so that I can help them focus on their studies and good health.</t>
        </is>
      </c>
    </row>
    <row r="1469">
      <c r="A1469" t="n">
        <v>1647</v>
      </c>
      <c r="B1469" t="inlineStr">
        <is>
          <t>As a healthy person, I want a home that monitors my gym membership activity and reminds me to work out, so that I can stay motivated to work out..</t>
        </is>
      </c>
    </row>
    <row r="1470">
      <c r="A1470" t="n">
        <v>1648</v>
      </c>
      <c r="B1470" t="inlineStr">
        <is>
          <t>As a home occupant I want My Smart Home to notify when I need to buy favorite foods  so that I may purchase the before I run out..</t>
        </is>
      </c>
    </row>
    <row r="1471">
      <c r="A1471" t="n">
        <v>1649</v>
      </c>
      <c r="B1471" t="inlineStr">
        <is>
          <t>As a home occupant I want a monitor for the front door so that I don't have to get up for those annoying witnesses or charity drives.</t>
        </is>
      </c>
    </row>
    <row r="1472">
      <c r="A1472" t="n">
        <v>1650</v>
      </c>
      <c r="B1472" t="inlineStr">
        <is>
          <t>As a head of the family I want my electronic items to be periodically noted, as it might cause injury to my family members so that I can change it or service it at appropriate time, make things for safety.</t>
        </is>
      </c>
    </row>
    <row r="1473">
      <c r="A1473" t="n">
        <v>1651</v>
      </c>
      <c r="B1473" t="inlineStr">
        <is>
          <t>As a equipment serviceman I want house equipment to automatically report malfunctions so that repairs could be delivered quickly.</t>
        </is>
      </c>
    </row>
    <row r="1474">
      <c r="A1474" t="n">
        <v>1653</v>
      </c>
      <c r="B1474" t="inlineStr">
        <is>
          <t>As a home occupant I want lights in the house to adjust to specific presets based on the time of day, outside illumination and activities taking place inside the house so that I could conserve energy.</t>
        </is>
      </c>
    </row>
    <row r="1475">
      <c r="A1475" t="n">
        <v>1654</v>
      </c>
      <c r="B1475" t="inlineStr">
        <is>
          <t>As a home occupant I want My Smart Home to turn on/offlights at selected time so that it may appear I am home..</t>
        </is>
      </c>
    </row>
    <row r="1476">
      <c r="A1476" t="n">
        <v>1655</v>
      </c>
      <c r="B1476" t="inlineStr">
        <is>
          <t>As a parent I want childrends bedroom that automatically plays and doesn't play soothing music depending on if child is or isn't asleep, so that my child will fall asleep easier..</t>
        </is>
      </c>
    </row>
    <row r="1477">
      <c r="A1477" t="n">
        <v>1656</v>
      </c>
      <c r="B1477" t="inlineStr">
        <is>
          <t>As a home occupant I want my medicine cabinet to show me which medicines and drugs should not be taken together or may have expired so that I don't risk unwanted side effects or health complications.</t>
        </is>
      </c>
    </row>
    <row r="1478">
      <c r="A1478" t="n">
        <v>1657</v>
      </c>
      <c r="B1478" t="inlineStr">
        <is>
          <t>As a home occupant I want to be able to call the police by voice command so that I could call help when i can't reach other means of communication.</t>
        </is>
      </c>
    </row>
    <row r="1479">
      <c r="A1479" t="n">
        <v>1659</v>
      </c>
      <c r="B1479" t="inlineStr">
        <is>
          <t>As a tv fanatic, I want house that records my favorite tv shows for me if I am not sitting on the couch, so that I don't have to remember to schedule a recording..</t>
        </is>
      </c>
    </row>
    <row r="1480">
      <c r="A1480" t="n">
        <v>1660</v>
      </c>
      <c r="B1480" t="inlineStr">
        <is>
          <t>As a home occupant I want a toilet that will use less or more water depending on if I go number 1 or number 2, so that I can have a lower water bill..</t>
        </is>
      </c>
    </row>
    <row r="1481">
      <c r="A1481" t="n">
        <v>1661</v>
      </c>
      <c r="B1481" t="inlineStr">
        <is>
          <t>As a home occupant I want miniature robots to periodically vacuum the house so that the house always stays clean and hypo-allergic.</t>
        </is>
      </c>
    </row>
    <row r="1482">
      <c r="A1482" t="n">
        <v>1662</v>
      </c>
      <c r="B1482" t="inlineStr">
        <is>
          <t>As a home occupant I want my cleaning devices to run when electricity prices are at their lowest so that I may save money &amp; not overtax the system..</t>
        </is>
      </c>
    </row>
    <row r="1483">
      <c r="A1483" t="n">
        <v>1663</v>
      </c>
      <c r="B1483" t="inlineStr">
        <is>
          <t>As a home occupant I want the home to dynamically adjust temperature of the ac system depending on occupants' presence in certain areas so that the air temperature and humidity are always comfortable within the house.</t>
        </is>
      </c>
    </row>
    <row r="1484">
      <c r="A1484" t="n">
        <v>1664</v>
      </c>
      <c r="B1484" t="inlineStr">
        <is>
          <t>As a pet owner I want home that will notify me by text message when my dog is barking so that I know about any potential intruders.</t>
        </is>
      </c>
    </row>
    <row r="1485">
      <c r="A1485" t="n">
        <v>1665</v>
      </c>
      <c r="B1485" t="inlineStr">
        <is>
          <t>As a home occupant I want my TV/audio system to play my favorite news programs in various media  so that at desiginated times so I can stay informed &amp; remember it in various ways..</t>
        </is>
      </c>
    </row>
    <row r="1486">
      <c r="A1486" t="n">
        <v>1666</v>
      </c>
      <c r="B1486" t="inlineStr">
        <is>
          <t>As a home occupant I want the windows in the kitchen have a transparent display for news and outside temperature so that I could get an update on news and weather in the morning.</t>
        </is>
      </c>
    </row>
    <row r="1487">
      <c r="A1487" t="n">
        <v>1667</v>
      </c>
      <c r="B1487" t="inlineStr">
        <is>
          <t>As a home occupant I want the smart home to call the police if there has been trespassing while the owners are not at home so that the residence and possessions within it remain safe.</t>
        </is>
      </c>
    </row>
    <row r="1488">
      <c r="A1488" t="n">
        <v>1668</v>
      </c>
      <c r="B1488" t="inlineStr">
        <is>
          <t>As a pet owner, home occupant I want feature that will interect with my dog for an hour each day so that so that my dog  will be  happy &amp; engaged when I'm away from home..</t>
        </is>
      </c>
    </row>
    <row r="1489">
      <c r="A1489" t="n">
        <v>1669</v>
      </c>
      <c r="B1489" t="inlineStr">
        <is>
          <t>As a home occupant I want the fridge to be able to automatically restock itself based on a pre-programmed schedule so that I could always have a full stock of my favorite groceries.</t>
        </is>
      </c>
    </row>
    <row r="1490">
      <c r="A1490" t="n">
        <v>1670</v>
      </c>
      <c r="B1490" t="inlineStr">
        <is>
          <t>As a owner of many devices I want home that turn off a power outlet when it senses that a plugged in device is fully charged so that I don't have to remember to unplug a fully charged device..</t>
        </is>
      </c>
    </row>
    <row r="1491">
      <c r="A1491" t="n">
        <v>1672</v>
      </c>
      <c r="B1491" t="inlineStr">
        <is>
          <t>As a music fan I want home that will auto cast music to different rooms when I go from one room to another so that I can continue to enjoy my music while I move around my home.</t>
        </is>
      </c>
    </row>
    <row r="1492">
      <c r="A1492" t="n">
        <v>1673</v>
      </c>
      <c r="B1492" t="inlineStr">
        <is>
          <t>As a home occupant I want a device that monitors basic health information when I am at home so that I may be aware of any changes..</t>
        </is>
      </c>
    </row>
    <row r="1493">
      <c r="A1493" t="n">
        <v>1674</v>
      </c>
      <c r="B1493" t="inlineStr">
        <is>
          <t>As a home owner I want home that will notify me if the stove or oven is on with no one in the home so that there will be no fire hazard.</t>
        </is>
      </c>
    </row>
    <row r="1494">
      <c r="A1494" t="n">
        <v>1675</v>
      </c>
      <c r="B1494" t="inlineStr">
        <is>
          <t>As a home occupant I want my Smart House to bark loudly at randon times when I'm away so that the neighbors/looters think I am inside.</t>
        </is>
      </c>
    </row>
    <row r="1495">
      <c r="A1495" t="n">
        <v>1676</v>
      </c>
      <c r="B1495" t="inlineStr">
        <is>
          <t>As a home owner I want a mail box that will automatically lock itself after the mail has been deliver so that my mail cannot be stolen.</t>
        </is>
      </c>
    </row>
    <row r="1496">
      <c r="A1496" t="n">
        <v>1678</v>
      </c>
      <c r="B1496" t="inlineStr">
        <is>
          <t>As a home occupant I want My Smart Home to update me when asked about my energy consumption so that benefit by knowing how I may change my usage..</t>
        </is>
      </c>
    </row>
    <row r="1497">
      <c r="A1497" t="n">
        <v>1679</v>
      </c>
      <c r="B1497" t="inlineStr">
        <is>
          <t>As a home occupant I want my Smart Home to have an excellent taste of music so that may dance &amp; be happy at home..</t>
        </is>
      </c>
    </row>
    <row r="1498">
      <c r="A1498" t="n">
        <v>1681</v>
      </c>
      <c r="B1498" t="inlineStr">
        <is>
          <t>As a home occupant I want my Smart Home to have many accents to talk to me in so that I may benefit from the presence of a Britt, Kiwi, or something just seductive.</t>
        </is>
      </c>
    </row>
    <row r="1499">
      <c r="A1499" t="n">
        <v>1682</v>
      </c>
      <c r="B1499" t="inlineStr">
        <is>
          <t>As a pet owner I want Alarm me whenever pets leave designated spot. so that I know when my pet runs away..</t>
        </is>
      </c>
    </row>
    <row r="1500">
      <c r="A1500" t="n">
        <v>1683</v>
      </c>
      <c r="B1500" t="inlineStr">
        <is>
          <t>As a home occupant I want to know when there's water running so that I can turn off water and save..</t>
        </is>
      </c>
    </row>
    <row r="1501">
      <c r="A1501" t="n">
        <v>1684</v>
      </c>
      <c r="B1501" t="inlineStr">
        <is>
          <t>As a parent I want an alarm system to alert everyone whenever it's time to eat so that not inform everyone.</t>
        </is>
      </c>
    </row>
    <row r="1502">
      <c r="A1502" t="n">
        <v>1685</v>
      </c>
      <c r="B1502" t="inlineStr">
        <is>
          <t>As a parent I want to turn on and off electronics in the house so that I can make sure when to conserve energy and make sure everyone goes to sleep on time..</t>
        </is>
      </c>
    </row>
    <row r="1503">
      <c r="A1503" t="n">
        <v>1686</v>
      </c>
      <c r="B1503" t="inlineStr">
        <is>
          <t>As a home occupant I want an alarm that will sound my room really loud so that I can wake up on time regardless of how I feel.</t>
        </is>
      </c>
    </row>
    <row r="1504">
      <c r="A1504" t="n">
        <v>1687</v>
      </c>
      <c r="B1504" t="inlineStr">
        <is>
          <t>As a parent I want a headcount of how many people come and leave the house. so that I can keep up with the security in the house manually..</t>
        </is>
      </c>
    </row>
    <row r="1505">
      <c r="A1505" t="n">
        <v>1688</v>
      </c>
      <c r="B1505" t="inlineStr">
        <is>
          <t>As a parent I want to be notified when someone is somewhere in the house where they don't belong so that I can protect certain belongings..</t>
        </is>
      </c>
    </row>
    <row r="1506">
      <c r="A1506" t="n">
        <v>1689</v>
      </c>
      <c r="B1506" t="inlineStr">
        <is>
          <t>As a home occupant I want a location finder for items so that I can find whatever important I need whenever I forget..</t>
        </is>
      </c>
    </row>
    <row r="1507">
      <c r="A1507" t="n">
        <v>1690</v>
      </c>
      <c r="B1507" t="inlineStr">
        <is>
          <t>As a home occupant I want a energy consumption detector so that I can see whoever is using too much energy.</t>
        </is>
      </c>
    </row>
    <row r="1508">
      <c r="A1508" t="n">
        <v>1691</v>
      </c>
      <c r="B1508" t="inlineStr">
        <is>
          <t>As a parent I want a voice detector for whenever someone screams for cry of help so that I can alert the police or authority whenever I'm not at home..</t>
        </is>
      </c>
    </row>
    <row r="1509">
      <c r="A1509" t="n">
        <v>1692</v>
      </c>
      <c r="B1509" t="inlineStr">
        <is>
          <t>As a tv show lover I want my tv to send a notification to my phone to remind me when my favorite show are returning for a new season so that i dont miss the first episode.</t>
        </is>
      </c>
    </row>
    <row r="1510">
      <c r="A1510" t="n">
        <v>1693</v>
      </c>
      <c r="B1510" t="inlineStr">
        <is>
          <t>As a parent I want to know when my fridge is running low on everyday essentials by sending me a message to my phone so that i know my family doesn't run out of food that they use daily.</t>
        </is>
      </c>
    </row>
    <row r="1511">
      <c r="A1511" t="n">
        <v>1694</v>
      </c>
      <c r="B1511" t="inlineStr">
        <is>
          <t>As a parent I want to know how long my air conditioners been running each day by sending me a message to my phone so that i could keep my energy bill in check.</t>
        </is>
      </c>
    </row>
    <row r="1512">
      <c r="A1512" t="n">
        <v>1695</v>
      </c>
      <c r="B1512" t="inlineStr">
        <is>
          <t>As a parent I want my kitchen stove and oven to notify me via text when i accidentally leave it on when im out the house or asleep so that i could keep my family safe and not burn down the house.</t>
        </is>
      </c>
    </row>
    <row r="1513">
      <c r="A1513" t="n">
        <v>1697</v>
      </c>
      <c r="B1513" t="inlineStr">
        <is>
          <t>As a parent I want my to be notified when i have scheduled medication to take give the kids or myself when feeling sick so that i dont forget to miss a dose and risk not feeling well longer.</t>
        </is>
      </c>
    </row>
    <row r="1514">
      <c r="A1514" t="n">
        <v>1698</v>
      </c>
      <c r="B1514" t="inlineStr">
        <is>
          <t>As a music fan I want my music device to notify me when my favorite artist release new music so that i could keep up with their latest music and download it.</t>
        </is>
      </c>
    </row>
    <row r="1515">
      <c r="A1515" t="n">
        <v>1699</v>
      </c>
      <c r="B1515" t="inlineStr">
        <is>
          <t>As a parent I want my smart home to notify me when my smart phone is full charged so that i could remove it and not risk burning out the battery or wasting unnecessary energy .</t>
        </is>
      </c>
    </row>
    <row r="1516">
      <c r="A1516" t="n">
        <v>1700</v>
      </c>
      <c r="B1516" t="inlineStr">
        <is>
          <t>As a home occupant I want my laundry dryer to notify me when my clothes are dried even when it is still running so that so i could remove them and not have to have the dryer running when it is not needed so i could save energy.</t>
        </is>
      </c>
    </row>
    <row r="1517">
      <c r="A1517" t="n">
        <v>1701</v>
      </c>
      <c r="B1517" t="inlineStr">
        <is>
          <t>As a home owner I want my windows and doors to be locked in accordance with my (or family members) voice 'LOCK' and 'UNLOCK' so that my home can maintain privacy and safety.</t>
        </is>
      </c>
    </row>
    <row r="1518">
      <c r="A1518" t="n">
        <v>1702</v>
      </c>
      <c r="B1518" t="inlineStr">
        <is>
          <t>As a home occupant I want to know how long my shower been running each day while my family and myself use it so that i could save water and limit the usage and play my part in helping the environment.</t>
        </is>
      </c>
    </row>
    <row r="1519">
      <c r="A1519" t="n">
        <v>1703</v>
      </c>
      <c r="B1519" t="inlineStr">
        <is>
          <t>As a parent I want my tv to notify me how long my children spend each day watching their favorite shows so that i could limit their viewing time and make sure they do other things more productive like exercise.</t>
        </is>
      </c>
    </row>
    <row r="1520">
      <c r="A1520" t="n">
        <v>1704</v>
      </c>
      <c r="B1520" t="inlineStr">
        <is>
          <t>As a home owner I want a internet radio streaming live broadcasting world wide to play according to my voice so that I can enjoy my favorite music and play.</t>
        </is>
      </c>
    </row>
    <row r="1521">
      <c r="A1521" t="n">
        <v>1705</v>
      </c>
      <c r="B1521" t="inlineStr">
        <is>
          <t>As a home occupant I want an automatic shower so that it comes on the same time I wake up so I can just walk in.</t>
        </is>
      </c>
    </row>
    <row r="1522">
      <c r="A1522" t="n">
        <v>1706</v>
      </c>
      <c r="B1522" t="inlineStr">
        <is>
          <t>As a home occupant I want automatic gas fireplace so that I don't have to get up from the couch to turn it on.</t>
        </is>
      </c>
    </row>
    <row r="1523">
      <c r="A1523" t="n">
        <v>1707</v>
      </c>
      <c r="B1523" t="inlineStr">
        <is>
          <t>As a health advisor I want to show the food calories, vitamins etc in our family food taken so that I am aware of correct nutrition level..</t>
        </is>
      </c>
    </row>
    <row r="1524">
      <c r="A1524" t="n">
        <v>1708</v>
      </c>
      <c r="B1524" t="inlineStr">
        <is>
          <t>As a home occupant I want automatic stove so that I can turn it on when I am at work.</t>
        </is>
      </c>
    </row>
    <row r="1525">
      <c r="A1525" t="n">
        <v>1709</v>
      </c>
      <c r="B1525" t="inlineStr">
        <is>
          <t>As a home occupant I want an automatic clothes washer so that it can start on it's own, on a set schedule.</t>
        </is>
      </c>
    </row>
    <row r="1526">
      <c r="A1526" t="n">
        <v>1710</v>
      </c>
      <c r="B1526" t="inlineStr">
        <is>
          <t>As a pet lover I want my pets to be watched over screen and to know the necessary foods available for them so that I can keep them healthy.</t>
        </is>
      </c>
    </row>
    <row r="1527">
      <c r="A1527" t="n">
        <v>1712</v>
      </c>
      <c r="B1527" t="inlineStr">
        <is>
          <t>As a home occupant I want room senors so that the second I walk in the room, the lights and tv can come on and my laptop will boot up without doing anything.</t>
        </is>
      </c>
    </row>
    <row r="1528">
      <c r="A1528" t="n">
        <v>1713</v>
      </c>
      <c r="B1528" t="inlineStr">
        <is>
          <t>As a home occupant I want automatic lawnmower so that it can cut the grass itself without anyone doing it.</t>
        </is>
      </c>
    </row>
    <row r="1529">
      <c r="A1529" t="n">
        <v>1714</v>
      </c>
      <c r="B1529" t="inlineStr">
        <is>
          <t>As a social worker I want a bike which runs in herbs oil (not petrol/diesel) so that global-warming should be less and no co2.</t>
        </is>
      </c>
    </row>
    <row r="1530">
      <c r="A1530" t="n">
        <v>1715</v>
      </c>
      <c r="B1530" t="inlineStr">
        <is>
          <t>As a home occupant I want automatic toaster so that it can cook my toast before I wake up.</t>
        </is>
      </c>
    </row>
    <row r="1531">
      <c r="A1531" t="n">
        <v>1717</v>
      </c>
      <c r="B1531" t="inlineStr">
        <is>
          <t>As a home occupant I want automatic toiletseat so that once I walk up to it, the lid opens and when I am finished, the lid shuts and flushes by itself.</t>
        </is>
      </c>
    </row>
    <row r="1532">
      <c r="A1532" t="n">
        <v>1718</v>
      </c>
      <c r="B1532" t="inlineStr">
        <is>
          <t>As a home occupant I want my dirty clothes clean without water and detergent powder so that water can be saved.</t>
        </is>
      </c>
    </row>
    <row r="1533">
      <c r="A1533" t="n">
        <v>1719</v>
      </c>
      <c r="B1533" t="inlineStr">
        <is>
          <t>As a home occupant I want automatic meat dicer so that I don't have to cut the meat and do a lot of work in the kitchen.</t>
        </is>
      </c>
    </row>
    <row r="1534">
      <c r="A1534" t="n">
        <v>1721</v>
      </c>
      <c r="B1534" t="inlineStr">
        <is>
          <t>As a home occupant I want an automatic trash can so that once it's full, it will alert me and will tie the bag shut by itself.</t>
        </is>
      </c>
    </row>
    <row r="1535">
      <c r="A1535" t="n">
        <v>1724</v>
      </c>
      <c r="B1535" t="inlineStr">
        <is>
          <t>As a home occupant I want my children away from water, pit, pesticide and other poisonous things so that I am aware of  my children safety.</t>
        </is>
      </c>
    </row>
    <row r="1536">
      <c r="A1536" t="n">
        <v>1729</v>
      </c>
      <c r="B1536" t="inlineStr">
        <is>
          <t>As a home owner I want my house lights and lamps got lighted from solar energy only without electricity so that electricity can be saved.</t>
        </is>
      </c>
    </row>
    <row r="1537">
      <c r="A1537" t="n">
        <v>1735</v>
      </c>
      <c r="B1537" t="inlineStr">
        <is>
          <t>As a home owner I want an object replaced by Fans to be produced (breezing ) cool natural fresh air so that I can save electricity and to be healthy.</t>
        </is>
      </c>
    </row>
    <row r="1538">
      <c r="A1538" t="n">
        <v>1737</v>
      </c>
      <c r="B1538" t="inlineStr">
        <is>
          <t>As a home owner I want a mirror that shows weather reports, daily to-do listings, reminders etc using Glass technology so that I am aware of my daily programs, forecast etc..</t>
        </is>
      </c>
    </row>
    <row r="1539">
      <c r="A1539" t="n">
        <v>1738</v>
      </c>
      <c r="B1539" t="inlineStr">
        <is>
          <t>As a home occupant I want voice-activated lights so that I can turn on and off the lights wherever I am in the room..</t>
        </is>
      </c>
    </row>
    <row r="1540">
      <c r="A1540" t="n">
        <v>1739</v>
      </c>
      <c r="B1540" t="inlineStr">
        <is>
          <t>As a parent I want an alarm to go off whenever someone who is under a certain height goes out of the house so that my children will be secure..</t>
        </is>
      </c>
    </row>
    <row r="1541">
      <c r="A1541" t="n">
        <v>1740</v>
      </c>
      <c r="B1541" t="inlineStr">
        <is>
          <t>As a home occupant I want an automatic pet feeder so that I won't have to take note of the time my pet last ate..</t>
        </is>
      </c>
    </row>
    <row r="1542">
      <c r="A1542" t="n">
        <v>1741</v>
      </c>
      <c r="B1542" t="inlineStr">
        <is>
          <t>As a home occupant I want to have changing ambiance "scenes" so that we will automatically have different themes for different events or parties..</t>
        </is>
      </c>
    </row>
    <row r="1543">
      <c r="A1543" t="n">
        <v>1742</v>
      </c>
      <c r="B1543" t="inlineStr">
        <is>
          <t>As a parent I want automatic security gates on staircases so that it will automatically put up security measures when my child comes within a few feet from the stairs..</t>
        </is>
      </c>
    </row>
    <row r="1544">
      <c r="A1544" t="n">
        <v>1743</v>
      </c>
      <c r="B1544" t="inlineStr">
        <is>
          <t>As a home occupant I want an automatic solar panel so that it will automatically switch all electrical consumption to solar and store energy during the day..</t>
        </is>
      </c>
    </row>
    <row r="1545">
      <c r="A1545" t="n">
        <v>1744</v>
      </c>
      <c r="B1545" t="inlineStr">
        <is>
          <t>As a home occupant I want an automatic air conditioner that would detect when I am nearly home and automatically turn on so that the house is already comfortably warm or cool when I enter it..</t>
        </is>
      </c>
    </row>
    <row r="1546">
      <c r="A1546" t="n">
        <v>1745</v>
      </c>
      <c r="B1546" t="inlineStr">
        <is>
          <t>As a home occupant I want a security camera and a siren which can be remotely monitored so that it would be good for chasing thieves away..</t>
        </is>
      </c>
    </row>
    <row r="1547">
      <c r="A1547" t="n">
        <v>1746</v>
      </c>
      <c r="B1547" t="inlineStr">
        <is>
          <t>As a home occupant I want a device that can be tagged to keys, pets, phones, etc. so that if they are missing, I will be immediately informed and be able to locate them..</t>
        </is>
      </c>
    </row>
    <row r="1548">
      <c r="A1548" t="n">
        <v>1747</v>
      </c>
      <c r="B1548" t="inlineStr">
        <is>
          <t>As a home occupant I want my appliances to send an alert when it needs cleaning or repair so that it will be immediately notified and have it repaired..</t>
        </is>
      </c>
    </row>
    <row r="1549">
      <c r="A1549" t="n">
        <v>1748</v>
      </c>
      <c r="B1549" t="inlineStr">
        <is>
          <t>As a movie lover I want my tv to tell me when new movie releases in my geners are released so that i can keep up with new movies.</t>
        </is>
      </c>
    </row>
    <row r="1550">
      <c r="A1550" t="n">
        <v>1749</v>
      </c>
      <c r="B1550" t="inlineStr">
        <is>
          <t>As a home owner I want all the lights in every room to turn off at 11pm so that we don't waste electricity and can sleep in peace.</t>
        </is>
      </c>
    </row>
    <row r="1551">
      <c r="A1551" t="n">
        <v>1750</v>
      </c>
      <c r="B1551" t="inlineStr">
        <is>
          <t>As a home occupant I want windows that open with smartphone so that so that i dont have to do it manually..</t>
        </is>
      </c>
    </row>
    <row r="1552">
      <c r="A1552" t="n">
        <v>1751</v>
      </c>
      <c r="B1552" t="inlineStr">
        <is>
          <t>As a home occupant I want sensors around house to tell me when someone gets within 10 ft of house so that i can keep my family safe.</t>
        </is>
      </c>
    </row>
    <row r="1553">
      <c r="A1553" t="n">
        <v>1752</v>
      </c>
      <c r="B1553" t="inlineStr">
        <is>
          <t>As a home occupant I want something that automatically vaccums so that so i dont have to do it manually..</t>
        </is>
      </c>
    </row>
    <row r="1554">
      <c r="A1554" t="n">
        <v>1753</v>
      </c>
      <c r="B1554" t="inlineStr">
        <is>
          <t>As a parent I want the front and back doors to automatically lock after 6pm so that if we forget to close them we don't have to worry about burglars.</t>
        </is>
      </c>
    </row>
    <row r="1555">
      <c r="A1555" t="n">
        <v>1754</v>
      </c>
      <c r="B1555" t="inlineStr">
        <is>
          <t>As a home owner I want my safe to alert my phone when someone tries to open it so that i can know if someone is getting in.</t>
        </is>
      </c>
    </row>
    <row r="1556">
      <c r="A1556" t="n">
        <v>1755</v>
      </c>
      <c r="B1556" t="inlineStr">
        <is>
          <t>As a home occupant I want opens doors by fingerprints so that so that i dont have to do it manually..</t>
        </is>
      </c>
    </row>
    <row r="1557">
      <c r="A1557" t="n">
        <v>1756</v>
      </c>
      <c r="B1557" t="inlineStr">
        <is>
          <t>As a home occupant I want something that cleans, dust. so that no manual labor..</t>
        </is>
      </c>
    </row>
    <row r="1558">
      <c r="A1558" t="n">
        <v>1757</v>
      </c>
      <c r="B1558" t="inlineStr">
        <is>
          <t>As a bill payer I want my phone to tell me the temp in my house and allow me to adjust it so that i can keep my bill lower.</t>
        </is>
      </c>
    </row>
    <row r="1559">
      <c r="A1559" t="n">
        <v>1758</v>
      </c>
      <c r="B1559" t="inlineStr">
        <is>
          <t>As a parent I want my smartphone to have an app to show me video of the baby room at all times so that i can always check on the well-being of my infant.</t>
        </is>
      </c>
    </row>
    <row r="1560">
      <c r="A1560" t="n">
        <v>1759</v>
      </c>
      <c r="B1560" t="inlineStr">
        <is>
          <t>As a home occupant I want a device that monitors the last time someone did a chore so that I don't have to keep track of it.</t>
        </is>
      </c>
    </row>
    <row r="1561">
      <c r="A1561" t="n">
        <v>1760</v>
      </c>
      <c r="B1561" t="inlineStr">
        <is>
          <t>As a home occupant I want something that cuts grass so that i dont have to do it manually..</t>
        </is>
      </c>
    </row>
    <row r="1562">
      <c r="A1562" t="n">
        <v>1761</v>
      </c>
      <c r="B1562" t="inlineStr">
        <is>
          <t>As a parent I want my medicine cabinet to remind me to give children medicine so that i don't forget to give them vitamins.</t>
        </is>
      </c>
    </row>
    <row r="1563">
      <c r="A1563" t="n">
        <v>1762</v>
      </c>
      <c r="B1563" t="inlineStr">
        <is>
          <t>As a home occupant I want a device that tells me what devices are taking up the most energy so that I don't waste energy.</t>
        </is>
      </c>
    </row>
    <row r="1564">
      <c r="A1564" t="n">
        <v>1763</v>
      </c>
      <c r="B1564" t="inlineStr">
        <is>
          <t>As a home owner I want all my electronics in the living room to turn on when i open the front door so that i dont' waste time turning everything on manually.</t>
        </is>
      </c>
    </row>
    <row r="1565">
      <c r="A1565" t="n">
        <v>1764</v>
      </c>
      <c r="B1565" t="inlineStr">
        <is>
          <t>As a home occupant I want something that prevents sun from coming in windows. so that so no sun pentrates..</t>
        </is>
      </c>
    </row>
    <row r="1566">
      <c r="A1566" t="n">
        <v>1765</v>
      </c>
      <c r="B1566" t="inlineStr">
        <is>
          <t>As a parent I want a medice cabnit that locks and lets me know when someone tries to open it so that pills can not be misused.</t>
        </is>
      </c>
    </row>
    <row r="1567">
      <c r="A1567" t="n">
        <v>1766</v>
      </c>
      <c r="B1567" t="inlineStr">
        <is>
          <t>As a home occupant I want sprinklers that come on automatically and consumers water so that so i dont have to do it..</t>
        </is>
      </c>
    </row>
    <row r="1568">
      <c r="A1568" t="n">
        <v>1767</v>
      </c>
      <c r="B1568" t="inlineStr">
        <is>
          <t>As a home occupant I want my house to turn off devices that haven't been used in a certain amount of time so that I don't waste energy.</t>
        </is>
      </c>
    </row>
    <row r="1569">
      <c r="A1569" t="n">
        <v>1768</v>
      </c>
      <c r="B1569" t="inlineStr">
        <is>
          <t>As a home occupant I want something that turns my tv on at a certain time of the day so that so i dont have to do it.</t>
        </is>
      </c>
    </row>
    <row r="1570">
      <c r="A1570" t="n">
        <v>1769</v>
      </c>
      <c r="B1570" t="inlineStr">
        <is>
          <t>As a home occupant I want cameras that turn on when they sense movement so that trespassers can be identified.</t>
        </is>
      </c>
    </row>
    <row r="1571">
      <c r="A1571" t="n">
        <v>1770</v>
      </c>
      <c r="B1571" t="inlineStr">
        <is>
          <t>As a home occupant I want automatic shower heads turning on at a certain time. so that enables it to get hot.</t>
        </is>
      </c>
    </row>
    <row r="1572">
      <c r="A1572" t="n">
        <v>1771</v>
      </c>
      <c r="B1572" t="inlineStr">
        <is>
          <t>As a home owner I want to send grocery list from fridge to phone so that i wont forget my list.</t>
        </is>
      </c>
    </row>
    <row r="1573">
      <c r="A1573" t="n">
        <v>1772</v>
      </c>
      <c r="B1573" t="inlineStr">
        <is>
          <t>As a home occupant I want turns fans on at a certain temp so that dont have to do it manually..</t>
        </is>
      </c>
    </row>
    <row r="1574">
      <c r="A1574" t="n">
        <v>1773</v>
      </c>
      <c r="B1574" t="inlineStr">
        <is>
          <t>As a home occupant I want a water guage so that I can keep track of how much water has been used that month.</t>
        </is>
      </c>
    </row>
    <row r="1575">
      <c r="A1575" t="n">
        <v>1774</v>
      </c>
      <c r="B1575" t="inlineStr">
        <is>
          <t>As a parent I want to control tv consumption from my phone so that my kids cant watch all the time.</t>
        </is>
      </c>
    </row>
    <row r="1576">
      <c r="A1576" t="n">
        <v>1775</v>
      </c>
      <c r="B1576" t="inlineStr">
        <is>
          <t>As a home owner I want my home to adjust the lighting on my computer and television screens according to the amount of light in the room so that straining in my eyes are reduced while I am working or reading..</t>
        </is>
      </c>
    </row>
    <row r="1577">
      <c r="A1577" t="n">
        <v>1776</v>
      </c>
      <c r="B1577" t="inlineStr">
        <is>
          <t>As a parent I want to shut off all phones in the house at certain times so that i can control media usage.</t>
        </is>
      </c>
    </row>
    <row r="1578">
      <c r="A1578" t="n">
        <v>1777</v>
      </c>
      <c r="B1578" t="inlineStr">
        <is>
          <t>As a home occupant I want a loud speaker system so that I don't have to yell .</t>
        </is>
      </c>
    </row>
    <row r="1579">
      <c r="A1579" t="n">
        <v>1779</v>
      </c>
      <c r="B1579" t="inlineStr">
        <is>
          <t>As a home owner I want my phone to tell me when someothing is wrong with the electrical system in house so that i can get it fixed.</t>
        </is>
      </c>
    </row>
    <row r="1580">
      <c r="A1580" t="n">
        <v>1780</v>
      </c>
      <c r="B1580" t="inlineStr">
        <is>
          <t>As a student I want reminders to pop up after a certain amount of time so that I don't forget to do my work.</t>
        </is>
      </c>
    </row>
    <row r="1581">
      <c r="A1581" t="n">
        <v>1781</v>
      </c>
      <c r="B1581" t="inlineStr">
        <is>
          <t>As a pet owner I want my phone to alert me if the dog leaves the premise using a sensor on the dog's collar so that i know if the dog has escaped the area.</t>
        </is>
      </c>
    </row>
    <row r="1582">
      <c r="A1582" t="n">
        <v>1783</v>
      </c>
      <c r="B1582" t="inlineStr">
        <is>
          <t>As a home owner I want the temperature to always be changeable via a phone app so that i can have all thermostats change to a specific temperature using just one device.</t>
        </is>
      </c>
    </row>
    <row r="1583">
      <c r="A1583" t="n">
        <v>1784</v>
      </c>
      <c r="B1583" t="inlineStr">
        <is>
          <t>As a home occupant I want my home to adjust the air flow and amount of humidity so that I can do things comfortably in my home without getting overheated..</t>
        </is>
      </c>
    </row>
    <row r="1584">
      <c r="A1584" t="n">
        <v>1787</v>
      </c>
      <c r="B1584" t="inlineStr">
        <is>
          <t>As a parent I want the ability to remotely unlock the house so that if someone forgets their key they don't have to break in or wait.</t>
        </is>
      </c>
    </row>
    <row r="1585">
      <c r="A1585" t="n">
        <v>1788</v>
      </c>
      <c r="B1585" t="inlineStr">
        <is>
          <t>As a home owner I want an app to turn off the stove in case i'm not home and i forgot to turn it off so that i won't cause a possible fire and waste energy.</t>
        </is>
      </c>
    </row>
    <row r="1586">
      <c r="A1586" t="n">
        <v>1789</v>
      </c>
      <c r="B1586" t="inlineStr">
        <is>
          <t>As a pet owner I want a device that tells me when my pet gets into a room or something they're not meant to be in (i.e. the trash) so that I can get them soomer.</t>
        </is>
      </c>
    </row>
    <row r="1587">
      <c r="A1587" t="n">
        <v>1791</v>
      </c>
      <c r="B1587" t="inlineStr">
        <is>
          <t>As a home occupant I want a rotating closet rack so that i just think it would be cool.</t>
        </is>
      </c>
    </row>
    <row r="1588">
      <c r="A1588" t="n">
        <v>1792</v>
      </c>
      <c r="B1588" t="inlineStr">
        <is>
          <t>As a home owner I want my home to tell me when there is spoiled food in the refigerator so that I know when to throw out food..</t>
        </is>
      </c>
    </row>
    <row r="1589">
      <c r="A1589" t="n">
        <v>1794</v>
      </c>
      <c r="B1589" t="inlineStr">
        <is>
          <t>As a home owner I want an app which shows video of who rang my doorbell when i wasn't at home so that i can see who stopped by when i wasn't home.</t>
        </is>
      </c>
    </row>
    <row r="1590">
      <c r="A1590" t="n">
        <v>1796</v>
      </c>
      <c r="B1590" t="inlineStr">
        <is>
          <t>As a parent I want an app that tells me if my child gets near a dangerous appliance like a stove so that safety for my child.</t>
        </is>
      </c>
    </row>
    <row r="1591">
      <c r="A1591" t="n">
        <v>1797</v>
      </c>
      <c r="B1591" t="inlineStr">
        <is>
          <t>As a home owner I want my home to record television shows I missed while I was away so that I can watch them when I have free time..</t>
        </is>
      </c>
    </row>
    <row r="1592">
      <c r="A1592" t="n">
        <v>1799</v>
      </c>
      <c r="B1592" t="inlineStr">
        <is>
          <t>As a parent I want a sensor to go off if my child tries to open an electrical device  so that my child doesn't receive an electric shock.</t>
        </is>
      </c>
    </row>
    <row r="1593">
      <c r="A1593" t="n">
        <v>1800</v>
      </c>
      <c r="B1593" t="inlineStr">
        <is>
          <t>As a home owner I want my smart home to set alarms to remind me when to take medicine so that I don't forget to take them..</t>
        </is>
      </c>
    </row>
    <row r="1594">
      <c r="A1594" t="n">
        <v>1801</v>
      </c>
      <c r="B1594" t="inlineStr">
        <is>
          <t>As a parent I want my smart floor to alert me when ever my child keep non eatable item in her mouth so that I can rush to them and stop her before putting it in her mouth.</t>
        </is>
      </c>
    </row>
    <row r="1595">
      <c r="A1595" t="n">
        <v>1803</v>
      </c>
      <c r="B1595" t="inlineStr">
        <is>
          <t>As a home owner I want my smart home to contact the police if anyone has broken into my home so that my home can be protected while I am away..</t>
        </is>
      </c>
    </row>
    <row r="1596">
      <c r="A1596" t="n">
        <v>1804</v>
      </c>
      <c r="B1596" t="inlineStr">
        <is>
          <t>As a pet owner I want my home to keep track of where my pet is so that I can find them if they run away..</t>
        </is>
      </c>
    </row>
    <row r="1597">
      <c r="A1597" t="n">
        <v>1805</v>
      </c>
      <c r="B1597" t="inlineStr">
        <is>
          <t>As a occupant I want my water tank to make an before getting emply so that I will start to refill my water tank.</t>
        </is>
      </c>
    </row>
    <row r="1598">
      <c r="A1598" t="n">
        <v>1806</v>
      </c>
      <c r="B1598" t="inlineStr">
        <is>
          <t>As a home owner I want my home to play white noise while I sleep so that I can rest better..</t>
        </is>
      </c>
    </row>
    <row r="1599">
      <c r="A1599" t="n">
        <v>1807</v>
      </c>
      <c r="B1599" t="inlineStr">
        <is>
          <t>As a music lover I want my smart music system to recognize my mood when I enter home and play a song to that  so that I can enjoy or I feel to be alone with the song .</t>
        </is>
      </c>
    </row>
    <row r="1600">
      <c r="A1600" t="n">
        <v>1808</v>
      </c>
      <c r="B1600" t="inlineStr">
        <is>
          <t>As a home owner I want my home to turn on my coffee pot and make me coffee 10 minutes before I wake up so that I can drink it as soon as I am awake.</t>
        </is>
      </c>
    </row>
    <row r="1601">
      <c r="A1601" t="n">
        <v>1809</v>
      </c>
      <c r="B1601" t="inlineStr">
        <is>
          <t>As a parent I want my home to turn off the television, mobile phones and computer until my children are done studying so that my children can finish their homework without distractions.</t>
        </is>
      </c>
    </row>
    <row r="1602">
      <c r="A1602" t="n">
        <v>1810</v>
      </c>
      <c r="B1602" t="inlineStr">
        <is>
          <t>As a home cook I want stove fans to come on automatically so that the level of smoke from cooking is maintained. .</t>
        </is>
      </c>
    </row>
    <row r="1603">
      <c r="A1603" t="n">
        <v>1811</v>
      </c>
      <c r="B1603" t="inlineStr">
        <is>
          <t>As a pet owner I want Stay distance the computed equipment from pets. so that They protcted, and second one it was safe to computed system..</t>
        </is>
      </c>
    </row>
    <row r="1604">
      <c r="A1604" t="n">
        <v>1813</v>
      </c>
      <c r="B1604" t="inlineStr">
        <is>
          <t>As a parent I want my smart mobile to send me an SMS when my child is not feeling well, when I am in office so that I can rush or alert my family doctor to attend them.</t>
        </is>
      </c>
    </row>
    <row r="1605">
      <c r="A1605" t="n">
        <v>1814</v>
      </c>
      <c r="B1605" t="inlineStr">
        <is>
          <t>As a resident I want my smart home to alert me when some enters the building i live in so that so i know when someone is coming up the stairs near my apartment.</t>
        </is>
      </c>
    </row>
    <row r="1606">
      <c r="A1606" t="n">
        <v>1815</v>
      </c>
      <c r="B1606" t="inlineStr">
        <is>
          <t>As a parent I want the wifi to turn off at bedtime so that my kids wont be using it too late. .</t>
        </is>
      </c>
    </row>
    <row r="1607">
      <c r="A1607" t="n">
        <v>1816</v>
      </c>
      <c r="B1607" t="inlineStr">
        <is>
          <t>As a home occupant I want my smart home to let me know if water is running when an area isn't occupied so that I can save on water costs.</t>
        </is>
      </c>
    </row>
    <row r="1608">
      <c r="A1608" t="n">
        <v>1817</v>
      </c>
      <c r="B1608" t="inlineStr">
        <is>
          <t>As a pet owner I want my smart home to alert me when my dog enters a room so that so I know where she is.</t>
        </is>
      </c>
    </row>
    <row r="1609">
      <c r="A1609" t="n">
        <v>1818</v>
      </c>
      <c r="B1609" t="inlineStr">
        <is>
          <t>As a home occupant I want the beds to warm 10 mins before I enter so that i wont have to feel cold sheets.</t>
        </is>
      </c>
    </row>
    <row r="1610">
      <c r="A1610" t="n">
        <v>1819</v>
      </c>
      <c r="B1610" t="inlineStr">
        <is>
          <t>As a home owner I want my smart home to turn off appliances (tv/computer) when a room is empty so that I can save on electricity.</t>
        </is>
      </c>
    </row>
    <row r="1611">
      <c r="A1611" t="n">
        <v>1820</v>
      </c>
      <c r="B1611" t="inlineStr">
        <is>
          <t>As a home occupant I want the heated floors to turn on 30 mins before my alarm so that they only turn on when i need them.</t>
        </is>
      </c>
    </row>
    <row r="1612">
      <c r="A1612" t="n">
        <v>1821</v>
      </c>
      <c r="B1612" t="inlineStr">
        <is>
          <t>As a home owner I want my smart home to alert me when a burner is on in the kitchen when it is unoccupied so that prevent a fire.</t>
        </is>
      </c>
    </row>
    <row r="1613">
      <c r="A1613" t="n">
        <v>1823</v>
      </c>
      <c r="B1613" t="inlineStr">
        <is>
          <t>As a home occupant I want my vacuum cleaner to clean to floors at a particular time daily or as I Program  so that my house will be clean .</t>
        </is>
      </c>
    </row>
    <row r="1614">
      <c r="A1614" t="n">
        <v>1824</v>
      </c>
      <c r="B1614" t="inlineStr">
        <is>
          <t>As a music lover I want Auto volume control when vetting out from my room while listening ,and auto increase when enters , switch volume and song changes with my words. so that Easy to.use , feel lively while listen music ..</t>
        </is>
      </c>
    </row>
    <row r="1615">
      <c r="A1615" t="n">
        <v>1825</v>
      </c>
      <c r="B1615" t="inlineStr">
        <is>
          <t>As a home occupant I want the coffee machine to start 5 minutes before my alarm so that it will be ready to drink when i get downstairs.</t>
        </is>
      </c>
    </row>
    <row r="1616">
      <c r="A1616" t="n">
        <v>1826</v>
      </c>
      <c r="B1616" t="inlineStr">
        <is>
          <t>As a home occupant I want my smart home to record shows I watch without having to pre-program them so that maximize my entertainment.</t>
        </is>
      </c>
    </row>
    <row r="1617">
      <c r="A1617" t="n">
        <v>1827</v>
      </c>
      <c r="B1617" t="inlineStr">
        <is>
          <t>As a parent I want my smart home to alert me when someone is in the medicine cabinet so that protect my children from taking medicines by accident.</t>
        </is>
      </c>
    </row>
    <row r="1618">
      <c r="A1618" t="n">
        <v>1828</v>
      </c>
      <c r="B1618" t="inlineStr">
        <is>
          <t>As a home occupant I want the windows and doors to lock automatically after 10 pm so that when i forget to do it manually, I know I am safe. .</t>
        </is>
      </c>
    </row>
    <row r="1619">
      <c r="A1619" t="n">
        <v>1829</v>
      </c>
      <c r="B1619" t="inlineStr">
        <is>
          <t>As a gardener I want a soil monitor so that I can be alerted when my plants need watering.</t>
        </is>
      </c>
    </row>
    <row r="1620">
      <c r="A1620" t="n">
        <v>1830</v>
      </c>
      <c r="B1620" t="inlineStr">
        <is>
          <t>As a home owner I want my smart home to alert me when the oven is on, but there isn't anything in it so that avoid a fire or gas leak.</t>
        </is>
      </c>
    </row>
    <row r="1621">
      <c r="A1621" t="n">
        <v>1831</v>
      </c>
      <c r="B1621" t="inlineStr">
        <is>
          <t>As a home occupant I want to be alerted when I have mail so that I know when to check it because I don't always receive mail.</t>
        </is>
      </c>
    </row>
    <row r="1622">
      <c r="A1622" t="n">
        <v>1832</v>
      </c>
      <c r="B1622" t="inlineStr">
        <is>
          <t>As a home owner I want smart home to send a picture to my phone of anyone standing on my doorstep so that know who is visiting me before I choose to answer the door.</t>
        </is>
      </c>
    </row>
    <row r="1623">
      <c r="A1623" t="n">
        <v>1833</v>
      </c>
      <c r="B1623" t="inlineStr">
        <is>
          <t>As a home owner I want automatic lights which turn off when I leave a room or only turn on when ambient light is low so that I can save everygy.</t>
        </is>
      </c>
    </row>
    <row r="1624">
      <c r="A1624" t="n">
        <v>1834</v>
      </c>
      <c r="B1624" t="inlineStr">
        <is>
          <t>As a parent I want to be alerted where my children are when i am not home so that i know that they aren't getting into trouble or doing things they shouldn't be doing.</t>
        </is>
      </c>
    </row>
    <row r="1625">
      <c r="A1625" t="n">
        <v>1835</v>
      </c>
      <c r="B1625" t="inlineStr">
        <is>
          <t>As a home occupant I want to control fireplace from my phone so that make my life easier.</t>
        </is>
      </c>
    </row>
    <row r="1626">
      <c r="A1626" t="n">
        <v>1836</v>
      </c>
      <c r="B1626" t="inlineStr">
        <is>
          <t>As a home occupant I want Auto temperature system that was bonded with outside climate and it was suitable the body needs like hot in winter, cool in summer with high techinical system. so that It helps to gain health  , give comfortness ..</t>
        </is>
      </c>
    </row>
    <row r="1627">
      <c r="A1627" t="n">
        <v>1837</v>
      </c>
      <c r="B1627" t="inlineStr">
        <is>
          <t>As a fitness conscious person I want scale and other sensors builtin to the shower floor with displayable metrics so that everyday I can monitor my weight and pulse in a way that makes efficient use of my time.</t>
        </is>
      </c>
    </row>
    <row r="1628">
      <c r="A1628" t="n">
        <v>1838</v>
      </c>
      <c r="B1628" t="inlineStr">
        <is>
          <t>As a music lover I want an all room speaker system so that speakers turn on when I enter a room and turn off in the room I left.</t>
        </is>
      </c>
    </row>
    <row r="1629">
      <c r="A1629" t="n">
        <v>1839</v>
      </c>
      <c r="B1629" t="inlineStr">
        <is>
          <t>As a home occupant I want the front door to lock automatically behind me so that i know everyone in the house is safe.</t>
        </is>
      </c>
    </row>
    <row r="1630">
      <c r="A1630" t="n">
        <v>1840</v>
      </c>
      <c r="B1630" t="inlineStr">
        <is>
          <t>As a music lover I want my smart television to play song which I sing  so that it will keep me enjoyable.</t>
        </is>
      </c>
    </row>
    <row r="1631">
      <c r="A1631" t="n">
        <v>1841</v>
      </c>
      <c r="B1631" t="inlineStr">
        <is>
          <t>As a home owner I want automatic locking doors so that doors will lock automatically but unlock when I touch the knob via fingerprint sensor.</t>
        </is>
      </c>
    </row>
    <row r="1632">
      <c r="A1632" t="n">
        <v>1842</v>
      </c>
      <c r="B1632" t="inlineStr">
        <is>
          <t>As a parent I want to see what channels are being watched through my phone so that I know my kids are watching appropriate channels.</t>
        </is>
      </c>
    </row>
    <row r="1633">
      <c r="A1633" t="n">
        <v>1843</v>
      </c>
      <c r="B1633" t="inlineStr">
        <is>
          <t>As a sports fan I want a system that will turn on televisions to the current channel when I enter a room so that I won't miss anything when watching a game.</t>
        </is>
      </c>
    </row>
    <row r="1634">
      <c r="A1634" t="n">
        <v>1844</v>
      </c>
      <c r="B1634" t="inlineStr">
        <is>
          <t>As a home occupant I want Auto control power ,save energy , that was the system that control power after sleep, and empty rooms , reduce energy saving modes was also include. so that Saver electrical energy, supports green planet..</t>
        </is>
      </c>
    </row>
    <row r="1635">
      <c r="A1635" t="n">
        <v>1845</v>
      </c>
      <c r="B1635" t="inlineStr">
        <is>
          <t>As a home occupant I want my chimney to switch on whenever I start my stove so that my kitchen will be clean.</t>
        </is>
      </c>
    </row>
    <row r="1636">
      <c r="A1636" t="n">
        <v>1846</v>
      </c>
      <c r="B1636" t="inlineStr">
        <is>
          <t>As a home owner I want a thermostat what adjusts itself based on the outdoor temperature so that I can conserve energy but also maintain a pleasant temperature inside.</t>
        </is>
      </c>
    </row>
    <row r="1637">
      <c r="A1637" t="n">
        <v>1847</v>
      </c>
      <c r="B1637" t="inlineStr">
        <is>
          <t>As a home owner I want a connected washing machine that could turn on when I leave work so that my clothes can be ready to put in the dryer when I get home and will not have been wet in the washer all day.</t>
        </is>
      </c>
    </row>
    <row r="1638">
      <c r="A1638" t="n">
        <v>1848</v>
      </c>
      <c r="B1638" t="inlineStr">
        <is>
          <t>As a home occupant I want Auto gardening sgstem like watering plants with under ground watering system , by time to time shedule arrange remote watering system. so that Watering plants daily without miss a day, grew well..</t>
        </is>
      </c>
    </row>
    <row r="1639">
      <c r="A1639" t="n">
        <v>1849</v>
      </c>
      <c r="B1639" t="inlineStr">
        <is>
          <t>As a home owner I want automatically closing windows when a person is within a certain range of the window so that I can leave windows open on a nice day instead of running the air conditioning, but also maintain the safety of my house.</t>
        </is>
      </c>
    </row>
    <row r="1640">
      <c r="A1640" t="n">
        <v>1850</v>
      </c>
      <c r="B1640" t="inlineStr">
        <is>
          <t>As a home owner I want a phone app that displays current energy use and tracks long term stats so that I can be aware of my energy usage and be alerted to high usage that I may want to correct.</t>
        </is>
      </c>
    </row>
    <row r="1641">
      <c r="A1641" t="n">
        <v>1851</v>
      </c>
      <c r="B1641" t="inlineStr">
        <is>
          <t>As a pet owner I want Fix auto alarm for feed food , and take out , everything need in system. so that Get i. Order , different pet maintainence ..</t>
        </is>
      </c>
    </row>
    <row r="1642">
      <c r="A1642" t="n">
        <v>1852</v>
      </c>
      <c r="B1642" t="inlineStr">
        <is>
          <t>As a parent I want my smart television to capture my kids naughty things so that I will enjoy seeing it when I am back to home.</t>
        </is>
      </c>
    </row>
    <row r="1643">
      <c r="A1643" t="n">
        <v>1853</v>
      </c>
      <c r="B1643" t="inlineStr">
        <is>
          <t>As a home occupant I want Windows that will tell me what temperature it is outside along with the weather conditions.  so that Health.</t>
        </is>
      </c>
    </row>
    <row r="1644">
      <c r="A1644" t="n">
        <v>1854</v>
      </c>
      <c r="B1644" t="inlineStr">
        <is>
          <t>As a home occupant I want Car parking alert indication from shed  that was touches by anyone must indicate to bedroom in purpose of saftey. so that Protect from snatches ..</t>
        </is>
      </c>
    </row>
    <row r="1645">
      <c r="A1645" t="n">
        <v>1855</v>
      </c>
      <c r="B1645" t="inlineStr">
        <is>
          <t>As a home occupant I want a back door that will warn me when someone approaches within 15 feet of my door so that I can know if someone is approaching my house ahead of time. .</t>
        </is>
      </c>
    </row>
    <row r="1646">
      <c r="A1646" t="n">
        <v>1856</v>
      </c>
      <c r="B1646" t="inlineStr">
        <is>
          <t>As a home occupant I want my wall to act as a in built wifi router  so that I can access the internet without using an external router.</t>
        </is>
      </c>
    </row>
    <row r="1647">
      <c r="A1647" t="n">
        <v>1858</v>
      </c>
      <c r="B1647" t="inlineStr">
        <is>
          <t>As a home occupant I want Windows that will alert me and call the police when someone try's to open them.  so that I know if someone is trying to break into my house. .</t>
        </is>
      </c>
    </row>
    <row r="1648">
      <c r="A1648" t="n">
        <v>1859</v>
      </c>
      <c r="B1648" t="inlineStr">
        <is>
          <t>As a home owner I want all my electronics and electrical items to get witched off if there is no one there for certain time so that I can save my bills.</t>
        </is>
      </c>
    </row>
    <row r="1649">
      <c r="A1649" t="n">
        <v>1860</v>
      </c>
      <c r="B1649" t="inlineStr">
        <is>
          <t>As a home occupant I want In separate room that mention gym must built an auto computer trainee to do workouts and other physical works. so that Command to body, no need to go gym outside..</t>
        </is>
      </c>
    </row>
    <row r="1650">
      <c r="A1650" t="n">
        <v>1861</v>
      </c>
      <c r="B1650" t="inlineStr">
        <is>
          <t>As a home occupant I want a panel that will let me know which devices are currently using energy but are not being used such as lights so that I can save money and energy.</t>
        </is>
      </c>
    </row>
    <row r="1651">
      <c r="A1651" t="n">
        <v>1862</v>
      </c>
      <c r="B1651" t="inlineStr">
        <is>
          <t>As a home occupant I want windows that change tint when the lighting in the house becomes too bright so that My eyes are not blinded when it's really bright out.</t>
        </is>
      </c>
    </row>
    <row r="1652">
      <c r="A1652" t="n">
        <v>1863</v>
      </c>
      <c r="B1652" t="inlineStr">
        <is>
          <t>As a home occupant I want windows that will light up when it's dreary outside to brighten my mood so that my mood is elevated throughout the day no matter what it's like outside.</t>
        </is>
      </c>
    </row>
    <row r="1653">
      <c r="A1653" t="n">
        <v>1864</v>
      </c>
      <c r="B1653" t="inlineStr">
        <is>
          <t>As a music lover I want Arrange home theatres every room and the music follow with my body where ever in house , the music play only in the room where at the present , it moves with me . so that Live music , kind of satisfaction in listening music ..</t>
        </is>
      </c>
    </row>
    <row r="1654">
      <c r="A1654" t="n">
        <v>1865</v>
      </c>
      <c r="B1654" t="inlineStr">
        <is>
          <t>As a home occupant I want an alarm that goes off that lets me know when an emergency is taking place on a panel within the house so that I can react to whats going on in my surroundings. .</t>
        </is>
      </c>
    </row>
    <row r="1655">
      <c r="A1655" t="n">
        <v>1866</v>
      </c>
      <c r="B1655" t="inlineStr">
        <is>
          <t>As a home occupant I want doors that automatically lock within 1 minute after they have been shut so that I never have to worry about forgetting to lock my doors.</t>
        </is>
      </c>
    </row>
    <row r="1656">
      <c r="A1656" t="n">
        <v>1867</v>
      </c>
      <c r="B1656" t="inlineStr">
        <is>
          <t>As a home occupant I want a panel to let me know if someone is trying to breach into my computer so that I can prevent hackers from getting into my computer.</t>
        </is>
      </c>
    </row>
    <row r="1657">
      <c r="A1657" t="n">
        <v>1868</v>
      </c>
      <c r="B1657" t="inlineStr">
        <is>
          <t>As a food cook I want Diet system that control kitchen, auto suggest to eat, time suggest, follow it. so that Health diet, make a special time to eat..</t>
        </is>
      </c>
    </row>
    <row r="1658">
      <c r="A1658" t="n">
        <v>1869</v>
      </c>
      <c r="B1658" t="inlineStr">
        <is>
          <t>As a home occupant I want a panel that will list how much battery power all of my smart home devices currently have available so that I know when my smart home devices need to be charged.</t>
        </is>
      </c>
    </row>
    <row r="1659">
      <c r="A1659" t="n">
        <v>1870</v>
      </c>
      <c r="B1659" t="inlineStr">
        <is>
          <t>As a home occupant I want wireless temperature control so that I can change the temperature before I get home, saving energy.</t>
        </is>
      </c>
    </row>
    <row r="1660">
      <c r="A1660" t="n">
        <v>1871</v>
      </c>
      <c r="B1660" t="inlineStr">
        <is>
          <t>As a home occupant I want kitchen appliance monitors so that I can keep track of appliances like the stove to ensure I don't forget they are on.</t>
        </is>
      </c>
    </row>
    <row r="1661">
      <c r="A1661" t="n">
        <v>1872</v>
      </c>
      <c r="B1661" t="inlineStr">
        <is>
          <t>As a home occupant I want the television to think for itself so that it senses I am nearby and will come on if it thinks I may want to watch a show.</t>
        </is>
      </c>
    </row>
    <row r="1662">
      <c r="A1662" t="n">
        <v>1873</v>
      </c>
      <c r="B1662" t="inlineStr">
        <is>
          <t>As a house keeper I want the home to remind me when cleaning supplies are low so that I know when to purchase the required supplies .</t>
        </is>
      </c>
    </row>
    <row r="1663">
      <c r="A1663" t="n">
        <v>1874</v>
      </c>
      <c r="B1663" t="inlineStr">
        <is>
          <t>As a home owner I want automatic butt wiper so that i don't have to wipe my ass.</t>
        </is>
      </c>
    </row>
    <row r="1664">
      <c r="A1664" t="n">
        <v>1875</v>
      </c>
      <c r="B1664" t="inlineStr">
        <is>
          <t>As a parent I want notification of when children leave/enter home through motion sensors so that I can know they are safe.</t>
        </is>
      </c>
    </row>
    <row r="1665">
      <c r="A1665" t="n">
        <v>1876</v>
      </c>
      <c r="B1665" t="inlineStr">
        <is>
          <t>As a home owner I want air purifier so that fresh air.</t>
        </is>
      </c>
    </row>
    <row r="1666">
      <c r="A1666" t="n">
        <v>1877</v>
      </c>
      <c r="B1666" t="inlineStr">
        <is>
          <t>As a home owner I want tv that goes into the cieling so that save space.</t>
        </is>
      </c>
    </row>
    <row r="1667">
      <c r="A1667" t="n">
        <v>1878</v>
      </c>
      <c r="B1667" t="inlineStr">
        <is>
          <t>As a home owner I want automatic door lock so that don't need keys.</t>
        </is>
      </c>
    </row>
    <row r="1668">
      <c r="A1668" t="n">
        <v>1879</v>
      </c>
      <c r="B1668" t="inlineStr">
        <is>
          <t>As a home occupant I want remote control of appliances so that I can turn off appliances from the next room without getting up to save energy.</t>
        </is>
      </c>
    </row>
    <row r="1669">
      <c r="A1669" t="n">
        <v>1880</v>
      </c>
      <c r="B1669" t="inlineStr">
        <is>
          <t>As a home owner I want automatic window cleaner so that so i don't need to.</t>
        </is>
      </c>
    </row>
    <row r="1670">
      <c r="A1670" t="n">
        <v>1881</v>
      </c>
      <c r="B1670" t="inlineStr">
        <is>
          <t>As a home owner I want motion sensors for outdoor lights so that safety .</t>
        </is>
      </c>
    </row>
    <row r="1671">
      <c r="A1671" t="n">
        <v>1882</v>
      </c>
      <c r="B1671" t="inlineStr">
        <is>
          <t>As a home owner I want electricity saver so that i can save electricity.</t>
        </is>
      </c>
    </row>
    <row r="1672">
      <c r="A1672" t="n">
        <v>1884</v>
      </c>
      <c r="B1672" t="inlineStr">
        <is>
          <t>As a parent I want features to safely monitor my baby's vital signs so that I can always know they are safe.</t>
        </is>
      </c>
    </row>
    <row r="1673">
      <c r="A1673" t="n">
        <v>1885</v>
      </c>
      <c r="B1673" t="inlineStr">
        <is>
          <t>As a home owner I want auto cleaning fridge so that i don't have to.</t>
        </is>
      </c>
    </row>
    <row r="1674">
      <c r="A1674" t="n">
        <v>1886</v>
      </c>
      <c r="B1674" t="inlineStr">
        <is>
          <t>As a home owner I want robot butler so that he can take care of my light work.</t>
        </is>
      </c>
    </row>
    <row r="1675">
      <c r="A1675" t="n">
        <v>1888</v>
      </c>
      <c r="B1675" t="inlineStr">
        <is>
          <t>As a home occupant I want the air conditioner to learn my behavior so that it can adapt to me, ensuring it uses the minimum amount of electricity based on my activity/schedule.</t>
        </is>
      </c>
    </row>
    <row r="1676">
      <c r="A1676" t="n">
        <v>1889</v>
      </c>
      <c r="B1676" t="inlineStr">
        <is>
          <t>As a house keeper I want access to the home without keys so that I don't have to hold onto multiple homeowner's keys. I can gain access to a home/certain rooms with just my phone. .</t>
        </is>
      </c>
    </row>
    <row r="1677">
      <c r="A1677" t="n">
        <v>1890</v>
      </c>
      <c r="B1677" t="inlineStr">
        <is>
          <t>As a home occupant I want pool safety monitoring so that I am alerted via cell phone if anyone goes near the pool to keep children safe.</t>
        </is>
      </c>
    </row>
    <row r="1678">
      <c r="A1678" t="n">
        <v>1891</v>
      </c>
      <c r="B1678" t="inlineStr">
        <is>
          <t>As a home owner I want lights that shut off when i leave the room so that it will save electricty.</t>
        </is>
      </c>
    </row>
    <row r="1679">
      <c r="A1679" t="n">
        <v>1892</v>
      </c>
      <c r="B1679" t="inlineStr">
        <is>
          <t>As a home owner I want a dishwasher that washes dishes using less water so that i can save money.</t>
        </is>
      </c>
    </row>
    <row r="1680">
      <c r="A1680" t="n">
        <v>1893</v>
      </c>
      <c r="B1680" t="inlineStr">
        <is>
          <t>As a parent I want a video game console that shuts off at bed time so that I can get my kid to school on time.</t>
        </is>
      </c>
    </row>
    <row r="1681">
      <c r="A1681" t="n">
        <v>1894</v>
      </c>
      <c r="B1681" t="inlineStr">
        <is>
          <t>As a pet owner I want a doggy door that closes and locks when the dog is inside so that other animals don't enter the home.</t>
        </is>
      </c>
    </row>
    <row r="1682">
      <c r="A1682" t="n">
        <v>1895</v>
      </c>
      <c r="B1682" t="inlineStr">
        <is>
          <t>As a home owner I want self-cleaning tub so that I'll have less chores.</t>
        </is>
      </c>
    </row>
    <row r="1683">
      <c r="A1683" t="n">
        <v>1896</v>
      </c>
      <c r="B1683" t="inlineStr">
        <is>
          <t>As a frequent cooker I want A kitchen that can upload recipe requirements from my computer to my appliance so that the stove will preheat itself, timers will be pre-set, and I'll save time preparing food..</t>
        </is>
      </c>
    </row>
    <row r="1684">
      <c r="A1684" t="n">
        <v>1897</v>
      </c>
      <c r="B1684" t="inlineStr">
        <is>
          <t>As a parent I want a fridge that gives healthy recomendations based on the food we have so that my kid can eat better.</t>
        </is>
      </c>
    </row>
    <row r="1685">
      <c r="A1685" t="n">
        <v>1898</v>
      </c>
      <c r="B1685" t="inlineStr">
        <is>
          <t>As a home owner I want Key fob that remotely locks or unlocks my front door. so that I never have to run back to jiggle the handle to make sure I locked up, and to make it easier to get in when my arms are full..</t>
        </is>
      </c>
    </row>
    <row r="1686">
      <c r="A1686" t="n">
        <v>1899</v>
      </c>
      <c r="B1686" t="inlineStr">
        <is>
          <t>As a home owner I want A screen in my home that lists all of my appliances and how much energy they consume so that I can reduce my energy uses and lower my utility bills..</t>
        </is>
      </c>
    </row>
    <row r="1687">
      <c r="A1687" t="n">
        <v>1900</v>
      </c>
      <c r="B1687" t="inlineStr">
        <is>
          <t>As a home owner I want bug killing machine that counts how many bugs it has killed so that I won't have to do it myself.</t>
        </is>
      </c>
    </row>
    <row r="1688">
      <c r="A1688" t="n">
        <v>1901</v>
      </c>
      <c r="B1688" t="inlineStr">
        <is>
          <t>As a home owner I want a TV that turns itself off after I leave the room so that it will save electricty.</t>
        </is>
      </c>
    </row>
    <row r="1689">
      <c r="A1689" t="n">
        <v>1902</v>
      </c>
      <c r="B1689" t="inlineStr">
        <is>
          <t>As a home owner I want toaster that will use less energy so that i will save money.</t>
        </is>
      </c>
    </row>
    <row r="1690">
      <c r="A1690" t="n">
        <v>1903</v>
      </c>
      <c r="B1690" t="inlineStr">
        <is>
          <t>As a home owner I want a toilet that flushes itself a second time if there is extra poop so that it won't leave stains.</t>
        </is>
      </c>
    </row>
    <row r="1691">
      <c r="A1691" t="n">
        <v>1904</v>
      </c>
      <c r="B1691" t="inlineStr">
        <is>
          <t>As a home owner I want appliances that turn themselves off if the house detects that all occupants have left. so that I can safe energy and prevent dangerous mistakes like leaving the stove on. .</t>
        </is>
      </c>
    </row>
    <row r="1692">
      <c r="A1692" t="n">
        <v>1905</v>
      </c>
      <c r="B1692" t="inlineStr">
        <is>
          <t>As a woman I want a medicine box that includes an auto-dial options to re-order my birth control so that I never forget to pick it up when I'm running low.</t>
        </is>
      </c>
    </row>
    <row r="1693">
      <c r="A1693" t="n">
        <v>1906</v>
      </c>
      <c r="B1693" t="inlineStr">
        <is>
          <t>As a pet owner I want a remote feeder  so that I can fill my pet's bowl from work or running late so they don't have to wait hungry..</t>
        </is>
      </c>
    </row>
    <row r="1694">
      <c r="A1694" t="n">
        <v>1907</v>
      </c>
      <c r="B1694" t="inlineStr">
        <is>
          <t>As a book lover I want lights that I can adjust from my chair so that I can continue to read without worry about eye strain.</t>
        </is>
      </c>
    </row>
    <row r="1695">
      <c r="A1695" t="n">
        <v>1908</v>
      </c>
      <c r="B1695" t="inlineStr">
        <is>
          <t>As a active person I want a floor that counts how many steps I take a day so that I can track my fitness around the house without any attachments.</t>
        </is>
      </c>
    </row>
    <row r="1696">
      <c r="A1696" t="n">
        <v>1909</v>
      </c>
      <c r="B1696" t="inlineStr">
        <is>
          <t>As a trivia lover I want an encyclopedia I can speak directly to installed in my home so that I can find out the answer to whatever question I'm wondering about without having to do the searching on my own..</t>
        </is>
      </c>
    </row>
    <row r="1697">
      <c r="A1697" t="n">
        <v>1910</v>
      </c>
      <c r="B1697" t="inlineStr">
        <is>
          <t>As a person with allergies I want fans around the house I can vocally activate  so that the air will be cleared out/better circulated.</t>
        </is>
      </c>
    </row>
    <row r="1698">
      <c r="A1698" t="n">
        <v>1911</v>
      </c>
      <c r="B1698" t="inlineStr">
        <is>
          <t>As a home occupant I want I want home thermostat to monitor my body temeprature so that So I know when I I'm getting sick and beginning to run a fever..</t>
        </is>
      </c>
    </row>
    <row r="1699">
      <c r="A1699" t="n">
        <v>1912</v>
      </c>
      <c r="B1699" t="inlineStr">
        <is>
          <t>As a home occupant I want Home monitors to watch my movements so that If I stop moving there will be an automatic 911 call made.</t>
        </is>
      </c>
    </row>
    <row r="1700">
      <c r="A1700" t="n">
        <v>1913</v>
      </c>
      <c r="B1700" t="inlineStr">
        <is>
          <t>As a home occupant I want Home outside monitors alert me if someone approaches my home so that So I can be safe..</t>
        </is>
      </c>
    </row>
    <row r="1701">
      <c r="A1701" t="n">
        <v>1914</v>
      </c>
      <c r="B1701" t="inlineStr">
        <is>
          <t>As a home occupant I want my computer to turn on automatically at 7am so that I waste no time waiting on it..</t>
        </is>
      </c>
    </row>
    <row r="1702">
      <c r="A1702" t="n">
        <v>1915</v>
      </c>
      <c r="B1702" t="inlineStr">
        <is>
          <t>As a home occupant I want Home monitors observe my activity and know when I am about to leave and have a Uber ready so that Save time, just walk out and go..</t>
        </is>
      </c>
    </row>
    <row r="1703">
      <c r="A1703" t="n">
        <v>1916</v>
      </c>
      <c r="B1703" t="inlineStr">
        <is>
          <t>As a pet owner I want my smart home to track if my pet is inside or outside so that I know where she is..</t>
        </is>
      </c>
    </row>
    <row r="1704">
      <c r="A1704" t="n">
        <v>1917</v>
      </c>
      <c r="B1704" t="inlineStr">
        <is>
          <t>As a home occupant I want my referigator to tell me when I need to buy milk, butter and eggs so that So I don't run out of milk, butter and eggs.</t>
        </is>
      </c>
    </row>
    <row r="1705">
      <c r="A1705" t="n">
        <v>1918</v>
      </c>
      <c r="B1705" t="inlineStr">
        <is>
          <t>As a home occupant I want my smart home to turn on music when the shower is running so that don't have to remember to turn it on.</t>
        </is>
      </c>
    </row>
    <row r="1706">
      <c r="A1706" t="n">
        <v>1919</v>
      </c>
      <c r="B1706" t="inlineStr">
        <is>
          <t>As a home occupant I want Home monitor tell me my home is locked after I leave so that So I remember to lock my home..</t>
        </is>
      </c>
    </row>
    <row r="1707">
      <c r="A1707" t="n">
        <v>1920</v>
      </c>
      <c r="B1707" t="inlineStr">
        <is>
          <t>As a home occupant I want the doors to lock when I'm gone from the house for 10 minutes so that my house will be safe..</t>
        </is>
      </c>
    </row>
    <row r="1708">
      <c r="A1708" t="n">
        <v>1921</v>
      </c>
      <c r="B1708" t="inlineStr">
        <is>
          <t>As a home occupant I want have all my electical appliances tell me how much electricity they are using and the cost so that so I can save on electric costs.</t>
        </is>
      </c>
    </row>
    <row r="1709">
      <c r="A1709" t="n">
        <v>1922</v>
      </c>
      <c r="B1709" t="inlineStr">
        <is>
          <t>As a poor person I want my smart house to turn off my fans if I'm not in the room for 10 minutes so that energy will be saved..</t>
        </is>
      </c>
    </row>
    <row r="1710">
      <c r="A1710" t="n">
        <v>1923</v>
      </c>
      <c r="B1710" t="inlineStr">
        <is>
          <t>As a home occupant I want to be alerted when a window gets damaged so that I know to check on it immediately.</t>
        </is>
      </c>
    </row>
    <row r="1711">
      <c r="A1711" t="n">
        <v>1924</v>
      </c>
      <c r="B1711" t="inlineStr">
        <is>
          <t>As a home occupant I want Hot water heater automatical heat water to temperature I like for showering so that Water for showering feels just right, no need for adjustment.</t>
        </is>
      </c>
    </row>
    <row r="1712">
      <c r="A1712" t="n">
        <v>1925</v>
      </c>
      <c r="B1712" t="inlineStr">
        <is>
          <t>As a parent I want alerts if my toddler is where she shouldn't be so that I can make sure she is safe.</t>
        </is>
      </c>
    </row>
    <row r="1713">
      <c r="A1713" t="n">
        <v>1926</v>
      </c>
      <c r="B1713" t="inlineStr">
        <is>
          <t>As a home occupant I want Blinds automatical open with the sun rise and direction so that Maximize ampunt of sunlight in home..</t>
        </is>
      </c>
    </row>
    <row r="1714">
      <c r="A1714" t="n">
        <v>1927</v>
      </c>
      <c r="B1714" t="inlineStr">
        <is>
          <t>As a home occupant I want my smart house to turn off the central air when I'm asleep so that I conserve energy.</t>
        </is>
      </c>
    </row>
    <row r="1715">
      <c r="A1715" t="n">
        <v>1928</v>
      </c>
      <c r="B1715" t="inlineStr">
        <is>
          <t>As a home occupant I want let me know what the temperature is outside so that So I can dress for warm or cold..</t>
        </is>
      </c>
    </row>
    <row r="1716">
      <c r="A1716" t="n">
        <v>1929</v>
      </c>
      <c r="B1716" t="inlineStr">
        <is>
          <t>As a pet owner I want fragrance sprinkler near my cat's litterbox so that that it will activate after my cat uses it, to keep the room smelling fresh..</t>
        </is>
      </c>
    </row>
    <row r="1717">
      <c r="A1717" t="n">
        <v>1930</v>
      </c>
      <c r="B1717" t="inlineStr">
        <is>
          <t>As a home occupant I want coffee container a lert me when I am running out of coffee so that So I don't wake up and I am out of coffee.</t>
        </is>
      </c>
    </row>
    <row r="1718">
      <c r="A1718" t="n">
        <v>1931</v>
      </c>
      <c r="B1718" t="inlineStr">
        <is>
          <t>As a shy person I want my smart home to alert me no discretely when someone pulls in so that I can prepare or hide..</t>
        </is>
      </c>
    </row>
    <row r="1719">
      <c r="A1719" t="n">
        <v>1932</v>
      </c>
      <c r="B1719" t="inlineStr">
        <is>
          <t>As a home occupant I want appliances alert me they are on before I leave so that Make sure all appliances are turned off when I leave..</t>
        </is>
      </c>
    </row>
    <row r="1720">
      <c r="A1720" t="n">
        <v>1933</v>
      </c>
      <c r="B1720" t="inlineStr">
        <is>
          <t>As a home occupant I want mirror let me know if I have missed a spot shaving so that  so I get a clean shave..</t>
        </is>
      </c>
    </row>
    <row r="1721">
      <c r="A1721" t="n">
        <v>1934</v>
      </c>
      <c r="B1721" t="inlineStr">
        <is>
          <t>As a pet owner I want to be alerted when when pet uses the doggie door so that I know when it is outside or inside.</t>
        </is>
      </c>
    </row>
    <row r="1722">
      <c r="A1722" t="n">
        <v>1935</v>
      </c>
      <c r="B1722" t="inlineStr">
        <is>
          <t>As a pet owner I want to be alerted if my pet somehow escapes from the back yard so that I can chase after it immediately.</t>
        </is>
      </c>
    </row>
    <row r="1723">
      <c r="A1723" t="n">
        <v>1936</v>
      </c>
      <c r="B1723" t="inlineStr">
        <is>
          <t>As a home owner I want video monitoring security that records activity on my property so that I can watch my property.</t>
        </is>
      </c>
    </row>
    <row r="1724">
      <c r="A1724" t="n">
        <v>1937</v>
      </c>
      <c r="B1724" t="inlineStr">
        <is>
          <t>As a home owner I want a smart house that monitors specific rooms with video at my command so that I can keep watch on my small children.</t>
        </is>
      </c>
    </row>
    <row r="1725">
      <c r="A1725" t="n">
        <v>1938</v>
      </c>
      <c r="B1725" t="inlineStr">
        <is>
          <t>As a energy saver I want a smart home that will sense when nobody is home and automatically adjust the temperature so that I can conserve energy and save money.</t>
        </is>
      </c>
    </row>
    <row r="1726">
      <c r="A1726" t="n">
        <v>1939</v>
      </c>
      <c r="B1726" t="inlineStr">
        <is>
          <t>As a home owner I want a notification when a friend or relative stops by and I am not home so that I can contact the person and inform them of my current whereabouts.</t>
        </is>
      </c>
    </row>
    <row r="1727">
      <c r="A1727" t="n">
        <v>1940</v>
      </c>
      <c r="B1727" t="inlineStr">
        <is>
          <t>As a home owner I want a smart house that calculates my current energy bill so far this month so that I can budget accordingly.</t>
        </is>
      </c>
    </row>
    <row r="1728">
      <c r="A1728" t="n">
        <v>1941</v>
      </c>
      <c r="B1728" t="inlineStr">
        <is>
          <t>As a home owner I want smart home that integrates with every tv in each room to coordinate viewing so that I can streamline my viewing experience.</t>
        </is>
      </c>
    </row>
    <row r="1729">
      <c r="A1729" t="n">
        <v>1942</v>
      </c>
      <c r="B1729" t="inlineStr">
        <is>
          <t>As a home owner I want a smart home that automatically opens and closes curtains and blinds so that I can regulate the amount of heat and sunlight entering the house.</t>
        </is>
      </c>
    </row>
    <row r="1730">
      <c r="A1730" t="n">
        <v>1943</v>
      </c>
      <c r="B1730" t="inlineStr">
        <is>
          <t>As a home owner I want a smart home to alert me when the mail or packages are delivered so that I can move them inside the house.</t>
        </is>
      </c>
    </row>
    <row r="1731">
      <c r="A1731" t="n">
        <v>1945</v>
      </c>
      <c r="B1731" t="inlineStr">
        <is>
          <t>As a pet owner I want my smart home to notice and alert me any time a pet goes potty on the floor so that the flooring can be cleaned quickly and not be ruined.</t>
        </is>
      </c>
    </row>
    <row r="1732">
      <c r="A1732" t="n">
        <v>1946</v>
      </c>
      <c r="B1732" t="inlineStr">
        <is>
          <t>As a cat owner I want my smart home to notify me when it has been more than 2 days since the litter has been changed so that the litter box stays clean and doesn't get forgotten.</t>
        </is>
      </c>
    </row>
    <row r="1733">
      <c r="A1733" t="n">
        <v>1948</v>
      </c>
      <c r="B1733" t="inlineStr">
        <is>
          <t>As a home owner I want my smart home to keep a relatively stable humidity factor, whether it means taking humidity out of the air, or adding it back in so that my family will feel better..</t>
        </is>
      </c>
    </row>
    <row r="1734">
      <c r="A1734" t="n">
        <v>1950</v>
      </c>
      <c r="B1734" t="inlineStr">
        <is>
          <t>As a mother I want my smart home to notify me if there is too much dust in the air so that dusting and vacuuming don't get put off due to busy lives.</t>
        </is>
      </c>
    </row>
    <row r="1735">
      <c r="A1735" t="n">
        <v>1951</v>
      </c>
      <c r="B1735" t="inlineStr">
        <is>
          <t>As a parent I want my smart home to notify me any time the liquor cabinet has been opened so that I will know if my kids are trying to access it.</t>
        </is>
      </c>
    </row>
    <row r="1736">
      <c r="A1736" t="n">
        <v>1952</v>
      </c>
      <c r="B1736" t="inlineStr">
        <is>
          <t>As a parent I want my smart home to notify me any time the gun cabinet is even touched, much less opened. so that my kids will be safe.</t>
        </is>
      </c>
    </row>
    <row r="1737">
      <c r="A1737" t="n">
        <v>1953</v>
      </c>
      <c r="B1737" t="inlineStr">
        <is>
          <t>As a lover I want I want my smart home to play "our song"  whenever I say the phrase "It's nice to have a night alone without the kids" so that My husband and I can smile and dance together.</t>
        </is>
      </c>
    </row>
    <row r="1738">
      <c r="A1738" t="n">
        <v>1954</v>
      </c>
      <c r="B1738" t="inlineStr">
        <is>
          <t>As a home owner I want my smart home to notify me wherever I am whenever someone gets in the pool so that I can be aware of safety issues.</t>
        </is>
      </c>
    </row>
    <row r="1739">
      <c r="A1739" t="n">
        <v>1956</v>
      </c>
      <c r="B1739" t="inlineStr">
        <is>
          <t>As a baseball fan I want my smart phone to notify me 10 minutes before the Braves games begin and if I don't respond, automatically DVR the game so that I don't miss a single game.</t>
        </is>
      </c>
    </row>
    <row r="1740">
      <c r="A1740" t="n">
        <v>1958</v>
      </c>
      <c r="B1740" t="inlineStr">
        <is>
          <t>As a home owner I want my smart home to be outfitted with solar panels so that I can use green energy as much as possible.</t>
        </is>
      </c>
    </row>
    <row r="1741">
      <c r="A1741" t="n">
        <v>1967</v>
      </c>
      <c r="B1741" t="inlineStr">
        <is>
          <t>As a avid online shopper I want my smart home to sync with package deliveries  so that so that the packages can be left at my door.</t>
        </is>
      </c>
    </row>
    <row r="1742">
      <c r="A1742" t="n">
        <v>1968</v>
      </c>
      <c r="B1742" t="inlineStr">
        <is>
          <t>As a home occupant I want hidden speakers wired throughout the house so that music can follow me wherever I go.</t>
        </is>
      </c>
    </row>
    <row r="1743">
      <c r="A1743" t="n">
        <v>1969</v>
      </c>
      <c r="B1743" t="inlineStr">
        <is>
          <t>As a smart home occupant I want a service that will tell me if someone is outside of my house so that i can be safe.</t>
        </is>
      </c>
    </row>
    <row r="1744">
      <c r="A1744" t="n">
        <v>1970</v>
      </c>
      <c r="B1744" t="inlineStr">
        <is>
          <t>As a home occupant I want video baby monitor so that I can see the baby if its sleeping in another room.</t>
        </is>
      </c>
    </row>
    <row r="1745">
      <c r="A1745" t="n">
        <v>1971</v>
      </c>
      <c r="B1745" t="inlineStr">
        <is>
          <t>As a car owner I want My car to start warming up on my schedule so that I don't have to do the remote start manually each workday morning. .</t>
        </is>
      </c>
    </row>
    <row r="1746">
      <c r="A1746" t="n">
        <v>1972</v>
      </c>
      <c r="B1746" t="inlineStr">
        <is>
          <t>As a smart home occupant I want my walls to change different colors easily so that i can be visually stimulated and perhaps listen to music with the lights on.</t>
        </is>
      </c>
    </row>
    <row r="1747">
      <c r="A1747" t="n">
        <v>1973</v>
      </c>
      <c r="B1747" t="inlineStr">
        <is>
          <t>As a smart home occupant I want a sensor that will tell me if the house smells bad so that i won't offend people and will always be fresh.</t>
        </is>
      </c>
    </row>
    <row r="1748">
      <c r="A1748" t="n">
        <v>1974</v>
      </c>
      <c r="B1748" t="inlineStr">
        <is>
          <t>As a early waker I want automatic extra water heater so that I have enough hot water for a morning shower.</t>
        </is>
      </c>
    </row>
    <row r="1749">
      <c r="A1749" t="n">
        <v>1975</v>
      </c>
      <c r="B1749" t="inlineStr">
        <is>
          <t>As a smart home occupant I want a feature that will power down unused items so that i will save money and help the planet.</t>
        </is>
      </c>
    </row>
    <row r="1750">
      <c r="A1750" t="n">
        <v>1976</v>
      </c>
      <c r="B1750" t="inlineStr">
        <is>
          <t>As a cook I want a fridge that monitors my supplies so that I know what ingredients I have to work with.</t>
        </is>
      </c>
    </row>
    <row r="1751">
      <c r="A1751" t="n">
        <v>1977</v>
      </c>
      <c r="B1751" t="inlineStr">
        <is>
          <t>As a home occupant I want wall outlets to turn off power to idle applicances so that appliances don't waste energy, lower bills.</t>
        </is>
      </c>
    </row>
    <row r="1752">
      <c r="A1752" t="n">
        <v>1978</v>
      </c>
      <c r="B1752" t="inlineStr">
        <is>
          <t>As a home occupant I want my mattress to heat up at the same time my thermostat cools down so that I can be warm when I go to bed.</t>
        </is>
      </c>
    </row>
    <row r="1753">
      <c r="A1753" t="n">
        <v>1979</v>
      </c>
      <c r="B1753" t="inlineStr">
        <is>
          <t>As a smart home occupant I want a chair that will cool me so that i can play games without overheating.</t>
        </is>
      </c>
    </row>
    <row r="1754">
      <c r="A1754" t="n">
        <v>1980</v>
      </c>
      <c r="B1754" t="inlineStr">
        <is>
          <t>As a sports fan I want my phone to signal when my team scores so that I can be alerted to a change in score.</t>
        </is>
      </c>
    </row>
    <row r="1755">
      <c r="A1755" t="n">
        <v>1981</v>
      </c>
      <c r="B1755" t="inlineStr">
        <is>
          <t>As a clothes horse I want a closet that suggests outfits based on my preferences so that I can get dressed faster in the morning.</t>
        </is>
      </c>
    </row>
    <row r="1756">
      <c r="A1756" t="n">
        <v>1982</v>
      </c>
      <c r="B1756" t="inlineStr">
        <is>
          <t>As a home occupant I want ability to automatically adjust solar panels throughout the day to get best energy production so that I use less grid power.</t>
        </is>
      </c>
    </row>
    <row r="1757">
      <c r="A1757" t="n">
        <v>1983</v>
      </c>
      <c r="B1757" t="inlineStr">
        <is>
          <t>As a home occupant I want an automatic door lock/unlock application so that I can unlock/lock doors with a touch.</t>
        </is>
      </c>
    </row>
    <row r="1758">
      <c r="A1758" t="n">
        <v>1984</v>
      </c>
      <c r="B1758" t="inlineStr">
        <is>
          <t>As a very shy person I want windows that dim automatically if a stranger is coming to the door so that I can hide from solicitors and proselytizers.</t>
        </is>
      </c>
    </row>
    <row r="1759">
      <c r="A1759" t="n">
        <v>1985</v>
      </c>
      <c r="B1759" t="inlineStr">
        <is>
          <t>As a smart home occupant I want a 360 roaming camera around my house so that i can see what is going on without being there and it won't be just stationed in one corner.</t>
        </is>
      </c>
    </row>
    <row r="1760">
      <c r="A1760" t="n">
        <v>1986</v>
      </c>
      <c r="B1760" t="inlineStr">
        <is>
          <t>As a home occupant I want alarm to tell me when air con filters need changing so that inside air is better and use less energy.</t>
        </is>
      </c>
    </row>
    <row r="1761">
      <c r="A1761" t="n">
        <v>1987</v>
      </c>
      <c r="B1761" t="inlineStr">
        <is>
          <t>As a home owner I want to know if there is wine in the fridge so that I can know whether I need to stop at the store.</t>
        </is>
      </c>
    </row>
    <row r="1762">
      <c r="A1762" t="n">
        <v>1988</v>
      </c>
      <c r="B1762" t="inlineStr">
        <is>
          <t>As a home occupant I want my smart home to sense when to and water my houseplants when they need it so that i won't have to remember .</t>
        </is>
      </c>
    </row>
    <row r="1763">
      <c r="A1763" t="n">
        <v>1989</v>
      </c>
      <c r="B1763" t="inlineStr">
        <is>
          <t>As a touchy sleeper I want a thermostat that monitors my sleeping and adjusts the temperature according to my sleep cycle so that I can save money by having the heat go down when I am asleep but so that if I wake up I will be warmed up soon..</t>
        </is>
      </c>
    </row>
    <row r="1764">
      <c r="A1764" t="n">
        <v>1990</v>
      </c>
      <c r="B1764" t="inlineStr">
        <is>
          <t>As a smart phone owner I want a button to press that will deliver groceries/pizza so that I don't have to drive in traffic.</t>
        </is>
      </c>
    </row>
    <row r="1765">
      <c r="A1765" t="n">
        <v>1991</v>
      </c>
      <c r="B1765" t="inlineStr">
        <is>
          <t>As a lazy person I want central vacuuming that turns on automatically but senses if someone's in the room first so that I don't have to vacuum.</t>
        </is>
      </c>
    </row>
    <row r="1766">
      <c r="A1766" t="n">
        <v>1992</v>
      </c>
      <c r="B1766" t="inlineStr">
        <is>
          <t>As a home occupant I want ability to lock all doors and windows instantly (phone app or hot button) so that to keep occupants safe.</t>
        </is>
      </c>
    </row>
    <row r="1767">
      <c r="A1767" t="n">
        <v>1993</v>
      </c>
      <c r="B1767" t="inlineStr">
        <is>
          <t>As a home occupant I want my smart home to automatically vacuum the floors daily while I am at work so that the floors will always be clean.</t>
        </is>
      </c>
    </row>
    <row r="1768">
      <c r="A1768" t="n">
        <v>1994</v>
      </c>
      <c r="B1768" t="inlineStr">
        <is>
          <t>As a home owner I want lightbulbs that adjust to my activity such as reading a book or watching a movie so that I don't waste money on electricity when I don't need it but can see well enough when I do need it..</t>
        </is>
      </c>
    </row>
    <row r="1769">
      <c r="A1769" t="n">
        <v>1995</v>
      </c>
      <c r="B1769" t="inlineStr">
        <is>
          <t>As a person with vertigo I want gutters that clean themselves so that I don't have to get up on a ladder..</t>
        </is>
      </c>
    </row>
    <row r="1770">
      <c r="A1770" t="n">
        <v>1997</v>
      </c>
      <c r="B1770" t="inlineStr">
        <is>
          <t>As a smart home occupant I want a plant sensor that tells me when certain plants need watering so that they don't die. I always end up killing them..</t>
        </is>
      </c>
    </row>
    <row r="1771">
      <c r="A1771" t="n">
        <v>1998</v>
      </c>
      <c r="B1771" t="inlineStr">
        <is>
          <t>As a pet owner I want a special chip on pet collar to know if pet is inside house or not so that pet is safe.</t>
        </is>
      </c>
    </row>
    <row r="1772">
      <c r="A1772" t="n">
        <v>2000</v>
      </c>
      <c r="B1772" t="inlineStr">
        <is>
          <t>As a pet owner I want my smart home to sense when my pet approaches the pet door and open for the pet to go out and come in so that the pet door will not allow access to break ins but only allow my pets in and out.</t>
        </is>
      </c>
    </row>
    <row r="1773">
      <c r="A1773" t="n">
        <v>2002</v>
      </c>
      <c r="B1773" t="inlineStr">
        <is>
          <t>As a home owner I want ceiling fans to come on automatically  so that air will be circulated for constant temp and comfort.</t>
        </is>
      </c>
    </row>
    <row r="1774">
      <c r="A1774" t="n">
        <v>2003</v>
      </c>
      <c r="B1774" t="inlineStr">
        <is>
          <t>As a video game fan I want room for video games so that i can play games all the time.</t>
        </is>
      </c>
    </row>
    <row r="1775">
      <c r="A1775" t="n">
        <v>2004</v>
      </c>
      <c r="B1775" t="inlineStr">
        <is>
          <t>As a home owner I want my smart home to sense my approach and start cooking my dinner so that it will be ready shortly after I arrive home.</t>
        </is>
      </c>
    </row>
    <row r="1776">
      <c r="A1776" t="n">
        <v>2005</v>
      </c>
      <c r="B1776" t="inlineStr">
        <is>
          <t>As a home occupant I want my shower to turn on when my alarm goes off. so that My shower will be warm when I get up..</t>
        </is>
      </c>
    </row>
    <row r="1777">
      <c r="A1777" t="n">
        <v>2006</v>
      </c>
      <c r="B1777" t="inlineStr">
        <is>
          <t>As a home occupant I want my radio to turn on when I go into the backyard so that I can enjoy music when I am outside.</t>
        </is>
      </c>
    </row>
    <row r="1778">
      <c r="A1778" t="n">
        <v>2007</v>
      </c>
      <c r="B1778" t="inlineStr">
        <is>
          <t>As a cat lover I want a back scratcher so that for my cats.</t>
        </is>
      </c>
    </row>
    <row r="1779">
      <c r="A1779" t="n">
        <v>2008</v>
      </c>
      <c r="B1779" t="inlineStr">
        <is>
          <t>As a home occupant I want my smart home to alert me if my hot water heater leaks so that it doesn't cause water damage in my house or mold.</t>
        </is>
      </c>
    </row>
    <row r="1780">
      <c r="A1780" t="n">
        <v>2009</v>
      </c>
      <c r="B1780" t="inlineStr">
        <is>
          <t>As a health nut I want a medicine cabinent  so that i can keep my medicine organized..</t>
        </is>
      </c>
    </row>
    <row r="1781">
      <c r="A1781" t="n">
        <v>2010</v>
      </c>
      <c r="B1781" t="inlineStr">
        <is>
          <t>As a home owner I want security cams to automatically record when strage movement happens at night so that video of the matter can be obtained.</t>
        </is>
      </c>
    </row>
    <row r="1782">
      <c r="A1782" t="n">
        <v>2011</v>
      </c>
      <c r="B1782" t="inlineStr">
        <is>
          <t>As a health nut I want a treadmill so that i can workout.</t>
        </is>
      </c>
    </row>
    <row r="1783">
      <c r="A1783" t="n">
        <v>2012</v>
      </c>
      <c r="B1783" t="inlineStr">
        <is>
          <t>As a car owner I want smart home to sense when my car needs to be washed and wash it in the modified garage using recycled water so that my car is always clean and water is not wasted.</t>
        </is>
      </c>
    </row>
    <row r="1784">
      <c r="A1784" t="n">
        <v>2013</v>
      </c>
      <c r="B1784" t="inlineStr">
        <is>
          <t>As a home occupant I want the dishwasher to start when it's most efficient to use electricity so that I can save on my bill.</t>
        </is>
      </c>
    </row>
    <row r="1785">
      <c r="A1785" t="n">
        <v>2014</v>
      </c>
      <c r="B1785" t="inlineStr">
        <is>
          <t>As a home occupant I want sprinkler system so that i can feel safe about fires.</t>
        </is>
      </c>
    </row>
    <row r="1786">
      <c r="A1786" t="n">
        <v>2015</v>
      </c>
      <c r="B1786" t="inlineStr">
        <is>
          <t>As a home occupant I want my smart home to warn me about carbon monoxide levels in my living room, when the fireplace is used so that it doesn't cause carbon monoxide poisoning.</t>
        </is>
      </c>
    </row>
    <row r="1787">
      <c r="A1787" t="n">
        <v>2016</v>
      </c>
      <c r="B1787" t="inlineStr">
        <is>
          <t>As a home occupant I want safety locks so that so my kids are safe.</t>
        </is>
      </c>
    </row>
    <row r="1788">
      <c r="A1788" t="n">
        <v>2017</v>
      </c>
      <c r="B1788" t="inlineStr">
        <is>
          <t>As a home I want watering system to get info from local weather stations so that lawn watering can automatically adjust itself to local conditions and conserve water.</t>
        </is>
      </c>
    </row>
    <row r="1789">
      <c r="A1789" t="n">
        <v>2018</v>
      </c>
      <c r="B1789" t="inlineStr">
        <is>
          <t>As a home occupant I want solar roof so that i have efficient power.</t>
        </is>
      </c>
    </row>
    <row r="1790">
      <c r="A1790" t="n">
        <v>2019</v>
      </c>
      <c r="B1790" t="inlineStr">
        <is>
          <t>As a home occupant I want gas stove so that to save energy.</t>
        </is>
      </c>
    </row>
    <row r="1791">
      <c r="A1791" t="n">
        <v>2020</v>
      </c>
      <c r="B1791" t="inlineStr">
        <is>
          <t>As a sports fan I want a sports room so that i can appreciate sports.</t>
        </is>
      </c>
    </row>
    <row r="1792">
      <c r="A1792" t="n">
        <v>2021</v>
      </c>
      <c r="B1792" t="inlineStr">
        <is>
          <t>As a home owner I want my smarthome to automatically clean and sanitize my shower and bath at the end of the day so that I will never have to clean the bathroom again.</t>
        </is>
      </c>
    </row>
    <row r="1793">
      <c r="A1793" t="n">
        <v>2022</v>
      </c>
      <c r="B1793" t="inlineStr">
        <is>
          <t>As a art fan I want an art room so that i can admire my collections.</t>
        </is>
      </c>
    </row>
    <row r="1794">
      <c r="A1794" t="n">
        <v>2024</v>
      </c>
      <c r="B1794" t="inlineStr">
        <is>
          <t>As a parents I want a sound system so that i can listen to music in other rooms.</t>
        </is>
      </c>
    </row>
    <row r="1795">
      <c r="A1795" t="n">
        <v>2025</v>
      </c>
      <c r="B1795" t="inlineStr">
        <is>
          <t>As a renter I want to be able to tell how much heat or air conditioning is being lost from my apartment through non sealed areas so that I can better control my energy bills.</t>
        </is>
      </c>
    </row>
    <row r="1796">
      <c r="A1796" t="n">
        <v>2026</v>
      </c>
      <c r="B1796" t="inlineStr">
        <is>
          <t>As a parent I want intercom so that i can hear my children in the other room.</t>
        </is>
      </c>
    </row>
    <row r="1797">
      <c r="A1797" t="n">
        <v>2027</v>
      </c>
      <c r="B1797" t="inlineStr">
        <is>
          <t>As a pet owner I want automated feeding so that my pet can be fed when im not here.</t>
        </is>
      </c>
    </row>
    <row r="1798">
      <c r="A1798" t="n">
        <v>2028</v>
      </c>
      <c r="B1798" t="inlineStr">
        <is>
          <t>As a home occupant I want my smart home to warn me when the garage door is left open so that I don't forget to close it at night.</t>
        </is>
      </c>
    </row>
    <row r="1799">
      <c r="A1799" t="n">
        <v>2029</v>
      </c>
      <c r="B1799" t="inlineStr">
        <is>
          <t>As a renter I want to know when my doors are locked remotely so that I can notify my landlord to lock them.</t>
        </is>
      </c>
    </row>
    <row r="1800">
      <c r="A1800" t="n">
        <v>2030</v>
      </c>
      <c r="B1800" t="inlineStr">
        <is>
          <t>As a home occupant I want my washing machine to sound when it's finished washing so that I can put it in the dryer.</t>
        </is>
      </c>
    </row>
    <row r="1801">
      <c r="A1801" t="n">
        <v>2031</v>
      </c>
      <c r="B1801" t="inlineStr">
        <is>
          <t>As a home owner I want an audible warning when home power use begin to exceed a set maximum so that occupants can learn to conserve energy better.</t>
        </is>
      </c>
    </row>
    <row r="1802">
      <c r="A1802" t="n">
        <v>2033</v>
      </c>
      <c r="B1802" t="inlineStr">
        <is>
          <t>As a home occupant I want my smart home to include a closet that automatically pulls together my clothing outfit for each day on my voice command so that I don't have to think about it.</t>
        </is>
      </c>
    </row>
    <row r="1803">
      <c r="A1803" t="n">
        <v>2034</v>
      </c>
      <c r="B1803" t="inlineStr">
        <is>
          <t>As a parent I want hot water sensor so that i know if the water is too hot for my child.</t>
        </is>
      </c>
    </row>
    <row r="1804">
      <c r="A1804" t="n">
        <v>2035</v>
      </c>
      <c r="B1804" t="inlineStr">
        <is>
          <t>As a home occupant I want my dryer to sound when the clothes are finished drying so that I can take the clothes out when they are done.</t>
        </is>
      </c>
    </row>
    <row r="1805">
      <c r="A1805" t="n">
        <v>2036</v>
      </c>
      <c r="B1805" t="inlineStr">
        <is>
          <t>As a home owner I want an alarm that will detect leaks in the house so that I can stay safe.</t>
        </is>
      </c>
    </row>
    <row r="1806">
      <c r="A1806" t="n">
        <v>2037</v>
      </c>
      <c r="B1806" t="inlineStr">
        <is>
          <t>As a home owner I want a notification when my trash is picked up so that so i can bring in my barrels.</t>
        </is>
      </c>
    </row>
    <row r="1807">
      <c r="A1807" t="n">
        <v>2038</v>
      </c>
      <c r="B1807" t="inlineStr">
        <is>
          <t>As a renter I want to know the power consumption of provided appliances so that I can replace the ones that use too much power.</t>
        </is>
      </c>
    </row>
    <row r="1808">
      <c r="A1808" t="n">
        <v>2040</v>
      </c>
      <c r="B1808" t="inlineStr">
        <is>
          <t>As a home occupant I want my smart home to alert me if water is left on outside so that I can save money on my water bill during the summer.</t>
        </is>
      </c>
    </row>
    <row r="1809">
      <c r="A1809" t="n">
        <v>2041</v>
      </c>
      <c r="B1809" t="inlineStr">
        <is>
          <t>As a home owner I want a monitor for meat and perishables in the fridge so that nothing goes bad and makes us sick.</t>
        </is>
      </c>
    </row>
    <row r="1810">
      <c r="A1810" t="n">
        <v>2042</v>
      </c>
      <c r="B1810" t="inlineStr">
        <is>
          <t>As a renter I want to know when there are dogs loose in the apartment complex so that I can keep my pets safe.</t>
        </is>
      </c>
    </row>
    <row r="1811">
      <c r="A1811" t="n">
        <v>2043</v>
      </c>
      <c r="B1811" t="inlineStr">
        <is>
          <t>As a home occupant I want Heated flooring to turn on an hour before I wake up so that the floor won't be cold when I step on it.</t>
        </is>
      </c>
    </row>
    <row r="1812">
      <c r="A1812" t="n">
        <v>2044</v>
      </c>
      <c r="B1812" t="inlineStr">
        <is>
          <t>As a home owner I want my christmas lights to go on at sunset so that the house looks pretty.</t>
        </is>
      </c>
    </row>
    <row r="1813">
      <c r="A1813" t="n">
        <v>2045</v>
      </c>
      <c r="B1813" t="inlineStr">
        <is>
          <t>As a parent I want an alarm that tells me if a baby is awake so that I can check on it.</t>
        </is>
      </c>
    </row>
    <row r="1814">
      <c r="A1814" t="n">
        <v>2046</v>
      </c>
      <c r="B1814" t="inlineStr">
        <is>
          <t>As a worker I want to be able to start my slow cooker or oven remotely so that dinner is ready when I get home..</t>
        </is>
      </c>
    </row>
    <row r="1815">
      <c r="A1815" t="n">
        <v>2047</v>
      </c>
      <c r="B1815" t="inlineStr">
        <is>
          <t>As a home occupant I want A stove that responds to voice commands so that I can pre-heat the oven without having to do it manually.</t>
        </is>
      </c>
    </row>
    <row r="1816">
      <c r="A1816" t="n">
        <v>2048</v>
      </c>
      <c r="B1816" t="inlineStr">
        <is>
          <t>As a home occupant I want my smart home to alert me if a window is left open so that I don't forget to close them at night.</t>
        </is>
      </c>
    </row>
    <row r="1817">
      <c r="A1817" t="n">
        <v>2049</v>
      </c>
      <c r="B1817" t="inlineStr">
        <is>
          <t>As a home occupant I want my fridge to tell me when I am running low on food so that I can restock.</t>
        </is>
      </c>
    </row>
    <row r="1818">
      <c r="A1818" t="n">
        <v>2050</v>
      </c>
      <c r="B1818" t="inlineStr">
        <is>
          <t>As a home owner I want my smart refrigerator to sense variations in temperature and alert me if maintenance will soon be required so that I'm not caught with a broken fridge and lose all my food.</t>
        </is>
      </c>
    </row>
    <row r="1819">
      <c r="A1819" t="n">
        <v>2051</v>
      </c>
      <c r="B1819" t="inlineStr">
        <is>
          <t>As a home owner I want RFid scanner for pet to enter house through doggie door so that i dont have to open door.</t>
        </is>
      </c>
    </row>
    <row r="1820">
      <c r="A1820" t="n">
        <v>2052</v>
      </c>
      <c r="B1820" t="inlineStr">
        <is>
          <t>As a cook I want to know the amount of time my vegetables have been in the fridge so that I can use them all before they go bad.</t>
        </is>
      </c>
    </row>
    <row r="1821">
      <c r="A1821" t="n">
        <v>2053</v>
      </c>
      <c r="B1821" t="inlineStr">
        <is>
          <t>As a home occupant I want My windows to set an alarm if they are opened after a certain time when the alarm is set so that I can be safe.</t>
        </is>
      </c>
    </row>
    <row r="1822">
      <c r="A1822" t="n">
        <v>2054</v>
      </c>
      <c r="B1822" t="inlineStr">
        <is>
          <t>As a home occupant I want A stove the will move the racks automatically so that I don't have to move them myself.</t>
        </is>
      </c>
    </row>
    <row r="1823">
      <c r="A1823" t="n">
        <v>2055</v>
      </c>
      <c r="B1823" t="inlineStr">
        <is>
          <t>As a home owner I want my tea to brew and be ready for my wakeup so that it is ready.</t>
        </is>
      </c>
    </row>
    <row r="1824">
      <c r="A1824" t="n">
        <v>2056</v>
      </c>
      <c r="B1824" t="inlineStr">
        <is>
          <t>As a renter I want my drains to be automatically cleaned regularly so that water doesn't back up.</t>
        </is>
      </c>
    </row>
    <row r="1825">
      <c r="A1825" t="n">
        <v>2057</v>
      </c>
      <c r="B1825" t="inlineStr">
        <is>
          <t>As a home occupant I want my smart home to alert me if movement is detected outside so that I can be safe at night from prowlers.</t>
        </is>
      </c>
    </row>
    <row r="1826">
      <c r="A1826" t="n">
        <v>2058</v>
      </c>
      <c r="B1826" t="inlineStr">
        <is>
          <t>As a parent I want a television that automatically turns off after an hour so that my child will stop watching television and do something else.</t>
        </is>
      </c>
    </row>
    <row r="1827">
      <c r="A1827" t="n">
        <v>2059</v>
      </c>
      <c r="B1827" t="inlineStr">
        <is>
          <t>As a cook I want recipes featuring what i bought through instacart this week so that i can make something delicious.</t>
        </is>
      </c>
    </row>
    <row r="1828">
      <c r="A1828" t="n">
        <v>2060</v>
      </c>
      <c r="B1828" t="inlineStr">
        <is>
          <t>As a musician I want to know the decibel level of my amp throughout my apartment so that I know when they cops are coming..</t>
        </is>
      </c>
    </row>
    <row r="1829">
      <c r="A1829" t="n">
        <v>2061</v>
      </c>
      <c r="B1829" t="inlineStr">
        <is>
          <t>As a home occupant I want my smart home to alert me when the mail is delivered so that I don't have to watch for the mailman.</t>
        </is>
      </c>
    </row>
    <row r="1830">
      <c r="A1830" t="n">
        <v>2062</v>
      </c>
      <c r="B1830" t="inlineStr">
        <is>
          <t>As a musician I want to be able to control the humidity in my home so that my strings stay in good condition.</t>
        </is>
      </c>
    </row>
    <row r="1831">
      <c r="A1831" t="n">
        <v>2063</v>
      </c>
      <c r="B1831" t="inlineStr">
        <is>
          <t>As a home owner I want my washer and dryer to automatically clean, dry , and fold the laundry so that all I do is put it away.</t>
        </is>
      </c>
    </row>
    <row r="1832">
      <c r="A1832" t="n">
        <v>2064</v>
      </c>
      <c r="B1832" t="inlineStr">
        <is>
          <t>As a home occupant I want my smart home to alert me when packages are left on my door step so that nobody steals them.</t>
        </is>
      </c>
    </row>
    <row r="1833">
      <c r="A1833" t="n">
        <v>2065</v>
      </c>
      <c r="B1833" t="inlineStr">
        <is>
          <t>As a cook I want suggestions for recipes based on what's in my home so that I can have new and interesting ideas at my fingertips.</t>
        </is>
      </c>
    </row>
    <row r="1834">
      <c r="A1834" t="n">
        <v>2066</v>
      </c>
      <c r="B1834" t="inlineStr">
        <is>
          <t>As a home owner I want a daily readout of utility useage per zone (kitchen, bathroom) so that I can learn how to save energy and lower bills.</t>
        </is>
      </c>
    </row>
    <row r="1835">
      <c r="A1835" t="n">
        <v>2067</v>
      </c>
      <c r="B1835" t="inlineStr">
        <is>
          <t>As a home occupant I want my smart home to alert me if a freezer gets too warm so that my food doesn't spoil.</t>
        </is>
      </c>
    </row>
    <row r="1836">
      <c r="A1836" t="n">
        <v>2068</v>
      </c>
      <c r="B1836" t="inlineStr">
        <is>
          <t>As a home occupant I want music that turns on when I enter the room so that I can hear music in whatever room I'm in, but turn it off in rooms I'm not in.</t>
        </is>
      </c>
    </row>
    <row r="1837">
      <c r="A1837" t="n">
        <v>2069</v>
      </c>
      <c r="B1837" t="inlineStr">
        <is>
          <t>As a home occupant I want my smart home to alert me if an outside light is left on so that I don't waste electricity.</t>
        </is>
      </c>
    </row>
    <row r="1838">
      <c r="A1838" t="n">
        <v>2070</v>
      </c>
      <c r="B1838" t="inlineStr">
        <is>
          <t>As a home gardner I want my smart home to monitor the moisture levels in the soil throughout the yard and water only the plants that need it using water from a rain barreil system so that no plant gets water unless it needs it.</t>
        </is>
      </c>
    </row>
    <row r="1839">
      <c r="A1839" t="n">
        <v>2071</v>
      </c>
      <c r="B1839" t="inlineStr">
        <is>
          <t>As a home occupant I want a tv that remembers what each family member likes so that I see my favorites, not the kids'.</t>
        </is>
      </c>
    </row>
    <row r="1840">
      <c r="A1840" t="n">
        <v>2072</v>
      </c>
      <c r="B1840" t="inlineStr">
        <is>
          <t>As a home occupant I want a way to track each family member's energy use so that we can compete to use the least.</t>
        </is>
      </c>
    </row>
    <row r="1841">
      <c r="A1841" t="n">
        <v>2073</v>
      </c>
      <c r="B1841" t="inlineStr">
        <is>
          <t>As a parent I want to know when my child arrives home from school so that I can have peace of mind knowing they're safe. .</t>
        </is>
      </c>
    </row>
    <row r="1842">
      <c r="A1842" t="n">
        <v>2074</v>
      </c>
      <c r="B1842" t="inlineStr">
        <is>
          <t>As a home occupant I want the refrigerator to shut off when the door is opened  so that I can save on electricity.</t>
        </is>
      </c>
    </row>
    <row r="1843">
      <c r="A1843" t="n">
        <v>2075</v>
      </c>
      <c r="B1843" t="inlineStr">
        <is>
          <t>As a parent I want to be alerted when my child moves in their crib so that I can check the monitor to ensure their safety. .</t>
        </is>
      </c>
    </row>
    <row r="1844">
      <c r="A1844" t="n">
        <v>2076</v>
      </c>
      <c r="B1844" t="inlineStr">
        <is>
          <t>As a home owner I want to be alerted if my water usage goes over a predetermined amount so that I can save money on the water bill and be more efficient. .</t>
        </is>
      </c>
    </row>
    <row r="1845">
      <c r="A1845" t="n">
        <v>2077</v>
      </c>
      <c r="B1845" t="inlineStr">
        <is>
          <t>As a electronics user and pet owner I want Sockets that automatically cut off power supply if less than a certain voltage is being drawn, so that when pets chew wire, they're less likely to be electrocuted so that my small pets can be safer from electrocution.</t>
        </is>
      </c>
    </row>
    <row r="1846">
      <c r="A1846" t="n">
        <v>2078</v>
      </c>
      <c r="B1846" t="inlineStr">
        <is>
          <t>As a home occupant I want heated porch and sidewalk when forecast predicts 100% chance of snow so that snow can be melted instead of shoveling, saving us time and energy. Also, snow can be cleared if homeowner on vacation.</t>
        </is>
      </c>
    </row>
    <row r="1847">
      <c r="A1847" t="n">
        <v>2079</v>
      </c>
      <c r="B1847" t="inlineStr">
        <is>
          <t>As a home owner I want something to detect drafts near windows and doors so that I can address the draft problem and be more energy efficient, and keep a warmer home. .</t>
        </is>
      </c>
    </row>
    <row r="1848">
      <c r="A1848" t="n">
        <v>2080</v>
      </c>
      <c r="B1848" t="inlineStr">
        <is>
          <t>As a home occupant I want an emergency autodialer that I can use with my voice so that I can quickly call for help in an emergency. .</t>
        </is>
      </c>
    </row>
    <row r="1849">
      <c r="A1849" t="n">
        <v>2081</v>
      </c>
      <c r="B1849" t="inlineStr">
        <is>
          <t>As a home occupant I want Shower floor that beeps at a certain temperature so that I can turn on the shower for it to heat up, and be alerted when the shower has warmed up even if I leave the room to do something.</t>
        </is>
      </c>
    </row>
    <row r="1850">
      <c r="A1850" t="n">
        <v>2082</v>
      </c>
      <c r="B1850" t="inlineStr">
        <is>
          <t>As a home occupant I want to be alerted when my plants need more light, food or water so that my plants don't die. .</t>
        </is>
      </c>
    </row>
    <row r="1851">
      <c r="A1851" t="n">
        <v>2083</v>
      </c>
      <c r="B1851" t="inlineStr">
        <is>
          <t>As a cook I want A stove that can remotely disable my smoke alarm so that when I set off the smoke alarm cooking, I can turn it off without leaving the stove (which itself is a fire hazard).</t>
        </is>
      </c>
    </row>
    <row r="1852">
      <c r="A1852" t="n">
        <v>2084</v>
      </c>
      <c r="B1852" t="inlineStr">
        <is>
          <t>As a home owner I want A water boiler that automatically defaults to Vacation Mode (and lowers the heat setting) if water has not been used for 3 days so that when we leave suddenly for vacation, we are not wasting gas heating up water that wont be used.</t>
        </is>
      </c>
    </row>
    <row r="1853">
      <c r="A1853" t="n">
        <v>2085</v>
      </c>
      <c r="B1853" t="inlineStr">
        <is>
          <t>As a pet owner I want my home to alert me when my pet leaves something behind on the floor so that I am alerted to when I need to clean up to prevent odors..</t>
        </is>
      </c>
    </row>
    <row r="1854">
      <c r="A1854" t="n">
        <v>2086</v>
      </c>
      <c r="B1854" t="inlineStr">
        <is>
          <t>As a home owner I want to be alerted of critters sneaking around at night so that I know where to bait traps..</t>
        </is>
      </c>
    </row>
    <row r="1855">
      <c r="A1855" t="n">
        <v>2087</v>
      </c>
      <c r="B1855" t="inlineStr">
        <is>
          <t>As a parent I want crying specifically identified so that I know when someone is hurt and needs me..</t>
        </is>
      </c>
    </row>
    <row r="1856">
      <c r="A1856" t="n">
        <v>2088</v>
      </c>
      <c r="B1856" t="inlineStr">
        <is>
          <t>As a home occupant I want a remote activated package slot with camera that mailmen can use to drop packages in. Mailman can press a button, which video calls my phone. If I can confirm that it is the mailman, I'll remotely open the package drop for mailman to place package in so that I don't need to worry about packages getting wet or stolen if I am not home to receive them.</t>
        </is>
      </c>
    </row>
    <row r="1857">
      <c r="A1857" t="n">
        <v>2089</v>
      </c>
      <c r="B1857" t="inlineStr">
        <is>
          <t>As a cook I want a fridge that automatically knows what I put in it by scanning the barcodes of food and tells me what I have at the push of a button so that I know what I have, and food does not go to waste.</t>
        </is>
      </c>
    </row>
    <row r="1858">
      <c r="A1858" t="n">
        <v>2090</v>
      </c>
      <c r="B1858" t="inlineStr">
        <is>
          <t>As a home owner I want to know my internet connection status so that I have a good signal constantly.</t>
        </is>
      </c>
    </row>
    <row r="1859">
      <c r="A1859" t="n">
        <v>2091</v>
      </c>
      <c r="B1859" t="inlineStr">
        <is>
          <t>As a cook I want smart garbage can that scans barcodes of what I throw out, and if it is a regularly used product (paper towels, eggs, bread bag,) puts them on a the "to buy"/grocery list so I wont forget so that I will not forget to buy oft-used staples for the house.</t>
        </is>
      </c>
    </row>
    <row r="1860">
      <c r="A1860" t="n">
        <v>2092</v>
      </c>
      <c r="B1860" t="inlineStr">
        <is>
          <t>As a home owner I want to know if my EV is charged fully or how much time is left for full charge so that I know if I can take a trip yet.</t>
        </is>
      </c>
    </row>
    <row r="1861">
      <c r="A1861" t="n">
        <v>2093</v>
      </c>
      <c r="B1861" t="inlineStr">
        <is>
          <t>As a driver I want motion detction in the garage so that I know about intruders stealing my car..</t>
        </is>
      </c>
    </row>
    <row r="1862">
      <c r="A1862" t="n">
        <v>2094</v>
      </c>
      <c r="B1862" t="inlineStr">
        <is>
          <t>As a home occupant I want A shower that automatically self sprays with an anti mildew solution after I exit the shower so that I can clean it less often and prevent mildew growth.</t>
        </is>
      </c>
    </row>
    <row r="1863">
      <c r="A1863" t="n">
        <v>2095</v>
      </c>
      <c r="B1863" t="inlineStr">
        <is>
          <t>As a home owner I want to know how much power is currently being consumed by appliance so that I can adjust my power usage accordingly.</t>
        </is>
      </c>
    </row>
    <row r="1864">
      <c r="A1864" t="n">
        <v>2096</v>
      </c>
      <c r="B1864" t="inlineStr">
        <is>
          <t>As a chef I want odor detection in the fridge so that I can dispose of rotten food.</t>
        </is>
      </c>
    </row>
    <row r="1865">
      <c r="A1865" t="n">
        <v>2097</v>
      </c>
      <c r="B1865" t="inlineStr">
        <is>
          <t>As a home occupant I want a bathroom that automatically heats up when the humidity rises and after showers to dry the air and bathroom contents so that my towels and the bathmat can be dried after I use the shower. Also prevents mold from growing .</t>
        </is>
      </c>
    </row>
    <row r="1866">
      <c r="A1866" t="n">
        <v>2098</v>
      </c>
      <c r="B1866" t="inlineStr">
        <is>
          <t>As a home owner I want to be able to see all rooms and outside of my home via cameras so that am aware of what's happening around me.</t>
        </is>
      </c>
    </row>
    <row r="1867">
      <c r="A1867" t="n">
        <v>2099</v>
      </c>
      <c r="B1867" t="inlineStr">
        <is>
          <t>As a parent I want underwater surveilance so that i know when someone is taking a swim.</t>
        </is>
      </c>
    </row>
    <row r="1868">
      <c r="A1868" t="n">
        <v>2100</v>
      </c>
      <c r="B1868" t="inlineStr">
        <is>
          <t>As a home owner I want to be able to control my AC via my smart phone so that I can save power and at the same time adjust a comfortable temperature before arriving home.</t>
        </is>
      </c>
    </row>
    <row r="1869">
      <c r="A1869" t="n">
        <v>2101</v>
      </c>
      <c r="B1869" t="inlineStr">
        <is>
          <t>As a parent I want My refrigerator to tell me when I am low on foods I use often,  so that I will never run out.</t>
        </is>
      </c>
    </row>
    <row r="1870">
      <c r="A1870" t="n">
        <v>2102</v>
      </c>
      <c r="B1870" t="inlineStr">
        <is>
          <t>As a home owner I want an invisibility code so that I can walk around and avoid all detection.</t>
        </is>
      </c>
    </row>
    <row r="1871">
      <c r="A1871" t="n">
        <v>2103</v>
      </c>
      <c r="B1871" t="inlineStr">
        <is>
          <t>As a home owner I want walls that can be set to reduce noise levels so that you can be undisturbed by others noises..</t>
        </is>
      </c>
    </row>
    <row r="1872">
      <c r="A1872" t="n">
        <v>2104</v>
      </c>
      <c r="B1872" t="inlineStr">
        <is>
          <t>As a home owner I want to have a sensor in the yard and on all the doors and windows so that I can know if someone is trying to gain access to the house in the middle of the night. .</t>
        </is>
      </c>
    </row>
    <row r="1873">
      <c r="A1873" t="n">
        <v>2105</v>
      </c>
      <c r="B1873" t="inlineStr">
        <is>
          <t>As a home owner I want to control my solar panel with my smartphone so that I can make sure there is enough power for the night.</t>
        </is>
      </c>
    </row>
    <row r="1874">
      <c r="A1874" t="n">
        <v>2106</v>
      </c>
      <c r="B1874" t="inlineStr">
        <is>
          <t>As a home occupant I want my work computer to turn on at a set time each day so that I am never late logging in for work. .</t>
        </is>
      </c>
    </row>
    <row r="1875">
      <c r="A1875" t="n">
        <v>2107</v>
      </c>
      <c r="B1875" t="inlineStr">
        <is>
          <t>As a home owner I want to control all lights with my smartphone so that I can conserve energy.</t>
        </is>
      </c>
    </row>
    <row r="1876">
      <c r="A1876" t="n">
        <v>2108</v>
      </c>
      <c r="B1876" t="inlineStr">
        <is>
          <t>As a home owner I want to be alerted if air quality in my home becomes poor so that I can address the problem and be healthier. .</t>
        </is>
      </c>
    </row>
    <row r="1877">
      <c r="A1877" t="n">
        <v>2109</v>
      </c>
      <c r="B1877" t="inlineStr">
        <is>
          <t>As a home owner I want lock and unlock my front door via my smartphone so that I dont have to hassle with key.</t>
        </is>
      </c>
    </row>
    <row r="1878">
      <c r="A1878" t="n">
        <v>2110</v>
      </c>
      <c r="B1878" t="inlineStr">
        <is>
          <t>As a home owner I want my tv to allow me to order food for delivery with my voice so that it will make it easier for me to provide a meal for my family. .</t>
        </is>
      </c>
    </row>
    <row r="1879">
      <c r="A1879" t="n">
        <v>2111</v>
      </c>
      <c r="B1879" t="inlineStr">
        <is>
          <t>As a home owner I want smoke detectors that pop up with a map to fire extinguishers so that in case of fire you know where to go and what extinguisher you want.</t>
        </is>
      </c>
    </row>
    <row r="1880">
      <c r="A1880" t="n">
        <v>2112</v>
      </c>
      <c r="B1880" t="inlineStr">
        <is>
          <t>As a home owner I want doors that automatically lock after a certain tim so that my home is safer. .</t>
        </is>
      </c>
    </row>
    <row r="1881">
      <c r="A1881" t="n">
        <v>2113</v>
      </c>
      <c r="B1881" t="inlineStr">
        <is>
          <t>As a home owner I want control my blinds with a remote so that adjust the light coming in during the day and provide privacy at night.</t>
        </is>
      </c>
    </row>
    <row r="1882">
      <c r="A1882" t="n">
        <v>2114</v>
      </c>
      <c r="B1882" t="inlineStr">
        <is>
          <t>As a home owner I want A robot that I can program that will chase out animals when they are in my yard so that I can keep my yard clean and free of animal waste. .</t>
        </is>
      </c>
    </row>
    <row r="1883">
      <c r="A1883" t="n">
        <v>2115</v>
      </c>
      <c r="B1883" t="inlineStr">
        <is>
          <t>As a home owner I want to be able to feed  my cat even when I am not home with an internet enabled feeder so that he does not starve when I am away.</t>
        </is>
      </c>
    </row>
    <row r="1884">
      <c r="A1884" t="n">
        <v>2116</v>
      </c>
      <c r="B1884" t="inlineStr">
        <is>
          <t>As a home owner I want to monitor my smoke detectors via my smartphone so that I am sure my home is safe.</t>
        </is>
      </c>
    </row>
    <row r="1885">
      <c r="A1885" t="n">
        <v>2117</v>
      </c>
      <c r="B1885" t="inlineStr">
        <is>
          <t>As a parent I want A lock installed on the refrigerator that is voice activated so that my daugher will stop opening and closing the doors and getting into things. .</t>
        </is>
      </c>
    </row>
    <row r="1886">
      <c r="A1886" t="n">
        <v>2118</v>
      </c>
      <c r="B1886" t="inlineStr">
        <is>
          <t>As a home owner I want Storage bins that organize, fill and arrange themselves so that my kids toys aren't scattered about to trip over. .</t>
        </is>
      </c>
    </row>
    <row r="1887">
      <c r="A1887" t="n">
        <v>2119</v>
      </c>
      <c r="B1887" t="inlineStr">
        <is>
          <t>As a home owner I want My home to turn on the lights when I come home and turn off the ones I'm not using when I leave a room, so that I can save on my energy bill. .</t>
        </is>
      </c>
    </row>
    <row r="1888">
      <c r="A1888" t="n">
        <v>2120</v>
      </c>
      <c r="B1888" t="inlineStr">
        <is>
          <t>As a home owner I want My home to monitor my energy use and turn the thermostat up or down according to my preferences so that I can save money on my gas bill. .</t>
        </is>
      </c>
    </row>
    <row r="1889">
      <c r="A1889" t="n">
        <v>2121</v>
      </c>
      <c r="B1889" t="inlineStr">
        <is>
          <t>As a parent I want my home to shake the beds of my two older kids to wake them up in the morning, so that they will actually get up and not be late for school. .</t>
        </is>
      </c>
    </row>
    <row r="1890">
      <c r="A1890" t="n">
        <v>2122</v>
      </c>
      <c r="B1890" t="inlineStr">
        <is>
          <t>As a parent I want an alert if a tv is turned on after 9 PM so that I know if my kids are watching tv when not allowed..</t>
        </is>
      </c>
    </row>
    <row r="1891">
      <c r="A1891" t="n">
        <v>2123</v>
      </c>
      <c r="B1891" t="inlineStr">
        <is>
          <t>As a parent I want the fridge to beep if it's left open so that we don't waste energy..</t>
        </is>
      </c>
    </row>
    <row r="1892">
      <c r="A1892" t="n">
        <v>2124</v>
      </c>
      <c r="B1892" t="inlineStr">
        <is>
          <t>As a home owner I want my oven to tell me when something I am baking is done, so that I won't leave the oven on too long and use too much power. .</t>
        </is>
      </c>
    </row>
    <row r="1893">
      <c r="A1893" t="n">
        <v>2125</v>
      </c>
      <c r="B1893" t="inlineStr">
        <is>
          <t>As a home occupant I want the lights to go off if there is movement in an hour so that we can save energy.</t>
        </is>
      </c>
    </row>
    <row r="1894">
      <c r="A1894" t="n">
        <v>2126</v>
      </c>
      <c r="B1894" t="inlineStr">
        <is>
          <t>As a resident I want the tv to turn on when I get home so that I can immediatly have it to make me feel entertained .</t>
        </is>
      </c>
    </row>
    <row r="1895">
      <c r="A1895" t="n">
        <v>2127</v>
      </c>
      <c r="B1895" t="inlineStr">
        <is>
          <t>As a home occupant I want the doors to automaticly lock after i enter or leave the house  so that I am reassured they always locked when I am home or not.</t>
        </is>
      </c>
    </row>
    <row r="1896">
      <c r="A1896" t="n">
        <v>2128</v>
      </c>
      <c r="B1896" t="inlineStr">
        <is>
          <t>As a home occupant I want automatic dust elimination so that the house does not accumulate excessive amounts of dust.</t>
        </is>
      </c>
    </row>
    <row r="1897">
      <c r="A1897" t="n">
        <v>2129</v>
      </c>
      <c r="B1897" t="inlineStr">
        <is>
          <t>As a home owner I want the washing machine to judge how long it needs to run base on size of the load so that I dont have to figure it out for myself.</t>
        </is>
      </c>
    </row>
    <row r="1898">
      <c r="A1898" t="n">
        <v>2130</v>
      </c>
      <c r="B1898" t="inlineStr">
        <is>
          <t>As a home owner I want smoke detectors that send a message to my phone if they go off when im not home so that I know immediatly if anything happens.</t>
        </is>
      </c>
    </row>
    <row r="1899">
      <c r="A1899" t="n">
        <v>2131</v>
      </c>
      <c r="B1899" t="inlineStr">
        <is>
          <t>As a employee I want timed meal preparation so that nutritious meals are always available after a long day.</t>
        </is>
      </c>
    </row>
    <row r="1900">
      <c r="A1900" t="n">
        <v>2132</v>
      </c>
      <c r="B1900" t="inlineStr">
        <is>
          <t>As a mother I want teen child monitoring so that I'm assured my child is home at appropriate hours.</t>
        </is>
      </c>
    </row>
    <row r="1901">
      <c r="A1901" t="n">
        <v>2133</v>
      </c>
      <c r="B1901" t="inlineStr">
        <is>
          <t>As a home owner I want an alarm to remind me remind me to eat at regular times so that I can be healthier.</t>
        </is>
      </c>
    </row>
    <row r="1902">
      <c r="A1902" t="n">
        <v>2134</v>
      </c>
      <c r="B1902" t="inlineStr">
        <is>
          <t>As a music lover I want voice recognized play list so that I can speak my music desires and they will automatically play.</t>
        </is>
      </c>
    </row>
    <row r="1903">
      <c r="A1903" t="n">
        <v>2135</v>
      </c>
      <c r="B1903" t="inlineStr">
        <is>
          <t>As a occupant I want automatic toilet cleaner so that The toilets are always immaculate with no intervention.</t>
        </is>
      </c>
    </row>
    <row r="1904">
      <c r="A1904" t="n">
        <v>2136</v>
      </c>
      <c r="B1904" t="inlineStr">
        <is>
          <t>As a home owner I want my fridge to catalog what I put in it and create a menu plan so that I eat a more balanced diet. .</t>
        </is>
      </c>
    </row>
    <row r="1905">
      <c r="A1905" t="n">
        <v>2137</v>
      </c>
      <c r="B1905" t="inlineStr">
        <is>
          <t>As a parent I want a feature that alerts me the sites my child visits so that I can monitor what they are doing.</t>
        </is>
      </c>
    </row>
    <row r="1906">
      <c r="A1906" t="n">
        <v>2138</v>
      </c>
      <c r="B1906" t="inlineStr">
        <is>
          <t>As a occupant I want mood smells, foods, nature so that the home smells a certain way, based on my moods.</t>
        </is>
      </c>
    </row>
    <row r="1907">
      <c r="A1907" t="n">
        <v>2139</v>
      </c>
      <c r="B1907" t="inlineStr">
        <is>
          <t>As a occupant I want automatic window cleaning so that all window elements in home are always crystal clear.</t>
        </is>
      </c>
    </row>
    <row r="1908">
      <c r="A1908" t="n">
        <v>2140</v>
      </c>
      <c r="B1908" t="inlineStr">
        <is>
          <t>As a home owner I want a perimeter alarm so that I know when anyone has crossed into my property.</t>
        </is>
      </c>
    </row>
    <row r="1909">
      <c r="A1909" t="n">
        <v>2141</v>
      </c>
      <c r="B1909" t="inlineStr">
        <is>
          <t>As a employee I want automatic car start up so that automobile is toasty warm and defrosted during winter months.</t>
        </is>
      </c>
    </row>
    <row r="1910">
      <c r="A1910" t="n">
        <v>2142</v>
      </c>
      <c r="B1910" t="inlineStr">
        <is>
          <t>As a female I want wardrobe suggester so that Appropriate wardrobe is chosen based on weather and ocassion.</t>
        </is>
      </c>
    </row>
    <row r="1911">
      <c r="A1911" t="n">
        <v>2143</v>
      </c>
      <c r="B1911" t="inlineStr">
        <is>
          <t>As a wife I want special ocassion notifier so that my husband is always reminded of special ocassions and events.</t>
        </is>
      </c>
    </row>
    <row r="1912">
      <c r="A1912" t="n">
        <v>2144</v>
      </c>
      <c r="B1912" t="inlineStr">
        <is>
          <t>As a home owner I want programmable sinks so that I can choose the temperature of the water before turning the faucet on. .</t>
        </is>
      </c>
    </row>
    <row r="1913">
      <c r="A1913" t="n">
        <v>2145</v>
      </c>
      <c r="B1913" t="inlineStr">
        <is>
          <t>As a cook I want a smart oven so that the oven could let me know if somehting was being over cooked or when cook time was over via text or email.</t>
        </is>
      </c>
    </row>
    <row r="1914">
      <c r="A1914" t="n">
        <v>2146</v>
      </c>
      <c r="B1914" t="inlineStr">
        <is>
          <t>As a pet owner I want a pet activity monitor  so that I can use my phone to see where the dog is at anytime..</t>
        </is>
      </c>
    </row>
    <row r="1915">
      <c r="A1915" t="n">
        <v>2147</v>
      </c>
      <c r="B1915" t="inlineStr">
        <is>
          <t>As a home owner I want smart water meter so that if a pipe springs a leak I'll know right away. .</t>
        </is>
      </c>
    </row>
    <row r="1916">
      <c r="A1916" t="n">
        <v>2148</v>
      </c>
      <c r="B1916" t="inlineStr">
        <is>
          <t>As a couch potato I want moveable content so that my show or game would follow me from to screen to screen around the house.</t>
        </is>
      </c>
    </row>
    <row r="1917">
      <c r="A1917" t="n">
        <v>2149</v>
      </c>
      <c r="B1917" t="inlineStr">
        <is>
          <t>As a home occupant I want house with an attractive voice so that I will have social contact with no social pressure.</t>
        </is>
      </c>
    </row>
    <row r="1918">
      <c r="A1918" t="n">
        <v>2150</v>
      </c>
      <c r="B1918" t="inlineStr">
        <is>
          <t>As a pet owner I want automatic food discpensers so that I could feed my pets remotely .</t>
        </is>
      </c>
    </row>
    <row r="1919">
      <c r="A1919" t="n">
        <v>2151</v>
      </c>
      <c r="B1919" t="inlineStr">
        <is>
          <t>As a home owner I want automatic windows so that I could have the windows open to let fresh air from my phone.</t>
        </is>
      </c>
    </row>
    <row r="1920">
      <c r="A1920" t="n">
        <v>2152</v>
      </c>
      <c r="B1920" t="inlineStr">
        <is>
          <t>As a home occupant I want programmable locks so that I can let my friends into my house without getting up.</t>
        </is>
      </c>
    </row>
    <row r="1921">
      <c r="A1921" t="n">
        <v>2155</v>
      </c>
      <c r="B1921" t="inlineStr">
        <is>
          <t>As a home occupant I want my dvr, tv, and all networks (verizon, internet, and Netflix) to work seamlessly so that I don't have to figure out what needs to be done to watch what I want .</t>
        </is>
      </c>
    </row>
    <row r="1922">
      <c r="A1922" t="n">
        <v>2156</v>
      </c>
      <c r="B1922" t="inlineStr">
        <is>
          <t>As a home occupant I want my house to know when people come and go so that I can know who is here and feel secure.</t>
        </is>
      </c>
    </row>
    <row r="1923">
      <c r="A1923" t="n">
        <v>2157</v>
      </c>
      <c r="B1923" t="inlineStr">
        <is>
          <t>As a home occupant I want each room to feel comfortable, temperature and humidity wise so that each room is comfortable.</t>
        </is>
      </c>
    </row>
    <row r="1924">
      <c r="A1924" t="n">
        <v>2158</v>
      </c>
      <c r="B1924" t="inlineStr">
        <is>
          <t>As a home occupant I want my curtains and lights to adjust to morning, afternoon and evening so that each room is inviting and energy efficient.</t>
        </is>
      </c>
    </row>
    <row r="1925">
      <c r="A1925" t="n">
        <v>2159</v>
      </c>
      <c r="B1925" t="inlineStr">
        <is>
          <t>As a neighbor I want for my house to notify me if my dog is barking or being disruptive so that it will not bother my neighbors.</t>
        </is>
      </c>
    </row>
    <row r="1926">
      <c r="A1926" t="n">
        <v>2160</v>
      </c>
      <c r="B1926" t="inlineStr">
        <is>
          <t>As a parent I want a fence that can let me know if the kids leave the yard so that safety.</t>
        </is>
      </c>
    </row>
    <row r="1927">
      <c r="A1927" t="n">
        <v>2161</v>
      </c>
      <c r="B1927" t="inlineStr">
        <is>
          <t>As a home occupant I want my house to help me know what I need for dinners so that can be prepared to cook when I get home.</t>
        </is>
      </c>
    </row>
    <row r="1928">
      <c r="A1928" t="n">
        <v>2162</v>
      </c>
      <c r="B1928" t="inlineStr">
        <is>
          <t>As a home occupant I want my a/c and heater (or other appliances) to let me know when they need service or maintenance so that I will not have repair issues (or less).</t>
        </is>
      </c>
    </row>
    <row r="1929">
      <c r="A1929" t="n">
        <v>2163</v>
      </c>
      <c r="B1929" t="inlineStr">
        <is>
          <t>As a home occupant I want my toilets and sinks to clean themselves on a schedule so that I will not have to clean them as often.</t>
        </is>
      </c>
    </row>
    <row r="1930">
      <c r="A1930" t="n">
        <v>2164</v>
      </c>
      <c r="B1930" t="inlineStr">
        <is>
          <t>As a home occupant I want my seasonal decorations to be able to be plugged in so that I will not have to run extension cords all over the place.</t>
        </is>
      </c>
    </row>
    <row r="1931">
      <c r="A1931" t="n">
        <v>2170</v>
      </c>
      <c r="B1931" t="inlineStr">
        <is>
          <t>As a home occupant I want A thermostat that turns on as I wake up so that I am more comfortable in the morning.</t>
        </is>
      </c>
    </row>
    <row r="1932">
      <c r="A1932" t="n">
        <v>2171</v>
      </c>
      <c r="B1932" t="inlineStr">
        <is>
          <t>As a pet owner I want An air conditioner that detects when my dog is in the room so that My dog is comfortable.</t>
        </is>
      </c>
    </row>
    <row r="1933">
      <c r="A1933" t="n">
        <v>2172</v>
      </c>
      <c r="B1933" t="inlineStr">
        <is>
          <t>As a home occupant I want Doors that lock after half an hour so that I am safe.</t>
        </is>
      </c>
    </row>
    <row r="1934">
      <c r="A1934" t="n">
        <v>2173</v>
      </c>
      <c r="B1934" t="inlineStr">
        <is>
          <t>As a home occupant I want Windows that lock so that I feel safe.</t>
        </is>
      </c>
    </row>
    <row r="1935">
      <c r="A1935" t="n">
        <v>2174</v>
      </c>
      <c r="B1935" t="inlineStr">
        <is>
          <t>As a home occupant I want An oven that shuts off when empty so that my house keeps cooler..</t>
        </is>
      </c>
    </row>
    <row r="1936">
      <c r="A1936" t="n">
        <v>2175</v>
      </c>
      <c r="B1936" t="inlineStr">
        <is>
          <t>As a home occupant I want Speakers wired into the walls that I can control my voice so that So I can listen to music/tv while walking around the house .</t>
        </is>
      </c>
    </row>
    <row r="1937">
      <c r="A1937" t="n">
        <v>2176</v>
      </c>
      <c r="B1937" t="inlineStr">
        <is>
          <t>As a a home owner I want lights that turn on when someone approaches so that so that I can see people outside my home.</t>
        </is>
      </c>
    </row>
    <row r="1938">
      <c r="A1938" t="n">
        <v>2177</v>
      </c>
      <c r="B1938" t="inlineStr">
        <is>
          <t>As a pet owner I want A doggy door that senses my dogs collar so that Let my pet in and out without letting in other animals.</t>
        </is>
      </c>
    </row>
    <row r="1939">
      <c r="A1939" t="n">
        <v>2178</v>
      </c>
      <c r="B1939" t="inlineStr">
        <is>
          <t>As a home occupant I want Lights that turn on as I unlock my door so that I can feel more welcome as I come home.</t>
        </is>
      </c>
    </row>
    <row r="1940">
      <c r="A1940" t="n">
        <v>2179</v>
      </c>
      <c r="B1940" t="inlineStr">
        <is>
          <t>As a home occupant I want daily reminders so that so that I don't forget things.</t>
        </is>
      </c>
    </row>
    <row r="1941">
      <c r="A1941" t="n">
        <v>2180</v>
      </c>
      <c r="B1941" t="inlineStr">
        <is>
          <t>As a home occupant I want improved security so that I do not have to worry about a burglar..</t>
        </is>
      </c>
    </row>
    <row r="1942">
      <c r="A1942" t="n">
        <v>2181</v>
      </c>
      <c r="B1942" t="inlineStr">
        <is>
          <t>As a home occupant I want an intelligent oven so that I do not have worry about setting timers and the oven's temperature..</t>
        </is>
      </c>
    </row>
    <row r="1943">
      <c r="A1943" t="n">
        <v>2182</v>
      </c>
      <c r="B1943" t="inlineStr">
        <is>
          <t>As a person I want to be alerted every time someone goes into my room so that I know if someone is invading my privacy.</t>
        </is>
      </c>
    </row>
    <row r="1944">
      <c r="A1944" t="n">
        <v>2184</v>
      </c>
      <c r="B1944" t="inlineStr">
        <is>
          <t>As a nanny I want to be able to watch the children from the kitchen so that I can know that they're ok.</t>
        </is>
      </c>
    </row>
    <row r="1945">
      <c r="A1945" t="n">
        <v>2185</v>
      </c>
      <c r="B1945" t="inlineStr">
        <is>
          <t>As a student I want the TV to turn off when my laptop is on and vice versa so that I can study better and focus on one thing at once.</t>
        </is>
      </c>
    </row>
    <row r="1946">
      <c r="A1946" t="n">
        <v>2186</v>
      </c>
      <c r="B1946" t="inlineStr">
        <is>
          <t>As a cat owner I want to be able to alert others about where the cat is so that  he doesn't run outside.</t>
        </is>
      </c>
    </row>
    <row r="1947">
      <c r="A1947" t="n">
        <v>2187</v>
      </c>
      <c r="B1947" t="inlineStr">
        <is>
          <t>As a home occupant I want an automatic shower cleaner so that I do not have to clean the drain and shower.</t>
        </is>
      </c>
    </row>
    <row r="1948">
      <c r="A1948" t="n">
        <v>2188</v>
      </c>
      <c r="B1948" t="inlineStr">
        <is>
          <t>As a home occupant I want a smart thermostat that bases the temperature on the temperature near me so that I can maintain a perfect temperature..</t>
        </is>
      </c>
    </row>
    <row r="1949">
      <c r="A1949" t="n">
        <v>2189</v>
      </c>
      <c r="B1949" t="inlineStr">
        <is>
          <t>As a computer user I want to be alerted every time someone tries to use my computer so that I know if someone is invading my privacy.</t>
        </is>
      </c>
    </row>
    <row r="1950">
      <c r="A1950" t="n">
        <v>2190</v>
      </c>
      <c r="B1950" t="inlineStr">
        <is>
          <t>As a dog owner I want an automatic food dispenser so that I can feed my dog at the same time every day when I am not home.</t>
        </is>
      </c>
    </row>
    <row r="1951">
      <c r="A1951" t="n">
        <v>2192</v>
      </c>
      <c r="B1951" t="inlineStr">
        <is>
          <t>As a person who orders delivery a lot I want to be alerted when the delivery person is at my house so that I can know when they get here.</t>
        </is>
      </c>
    </row>
    <row r="1952">
      <c r="A1952" t="n">
        <v>2193</v>
      </c>
      <c r="B1952" t="inlineStr">
        <is>
          <t>As a television watcher I want to be able to find shows similar to what I am looking to watch so that I can avoid looking through every channel on the TV guide.</t>
        </is>
      </c>
    </row>
    <row r="1953">
      <c r="A1953" t="n">
        <v>2194</v>
      </c>
      <c r="B1953" t="inlineStr">
        <is>
          <t>As a person concerned with safety I want to be alerted every time the back door is left unlocked so that I can lock it.</t>
        </is>
      </c>
    </row>
    <row r="1954">
      <c r="A1954" t="n">
        <v>2195</v>
      </c>
      <c r="B1954" t="inlineStr">
        <is>
          <t>As a daughter I want to be alerted every time I am talking too loudly at night so that I can be quieter so my parents can sleep.</t>
        </is>
      </c>
    </row>
    <row r="1955">
      <c r="A1955" t="n">
        <v>2197</v>
      </c>
      <c r="B1955" t="inlineStr">
        <is>
          <t>As a home owner I want windows that automatically open and close so that I can adjust them when I am not home if it is raining, etc..</t>
        </is>
      </c>
    </row>
    <row r="1956">
      <c r="A1956" t="n">
        <v>2198</v>
      </c>
      <c r="B1956" t="inlineStr">
        <is>
          <t>As a home occupant I want The shower to begin on a voice command so that it can reach the proper temperature before I enter it. .</t>
        </is>
      </c>
    </row>
    <row r="1957">
      <c r="A1957" t="n">
        <v>2199</v>
      </c>
      <c r="B1957" t="inlineStr">
        <is>
          <t>As a mother I want to be alerted every time my children get into the sweets so that I can stop them from overeating .</t>
        </is>
      </c>
    </row>
    <row r="1958">
      <c r="A1958" t="n">
        <v>2200</v>
      </c>
      <c r="B1958" t="inlineStr">
        <is>
          <t>As a home occupant I want an automatic fireplace lighter so that I do not have to waste time with matches.</t>
        </is>
      </c>
    </row>
    <row r="1959">
      <c r="A1959" t="n">
        <v>2201</v>
      </c>
      <c r="B1959" t="inlineStr">
        <is>
          <t>As a person who loves her cats I want to be alerted every time my outside cat comes to the door to be fed so that I can feed him.</t>
        </is>
      </c>
    </row>
    <row r="1960">
      <c r="A1960" t="n">
        <v>2202</v>
      </c>
      <c r="B1960" t="inlineStr">
        <is>
          <t>As a car owner I want sensors in the driveway that detect car movement so that I will be alerted if my car is stolen.</t>
        </is>
      </c>
    </row>
    <row r="1961">
      <c r="A1961" t="n">
        <v>2204</v>
      </c>
      <c r="B1961" t="inlineStr">
        <is>
          <t>As a nanny I want advance notice so that I can tell that parents/guardians are coming home and that the door unlocking at any other time could potentially be dangerous..</t>
        </is>
      </c>
    </row>
    <row r="1962">
      <c r="A1962" t="n">
        <v>2205</v>
      </c>
      <c r="B1962" t="inlineStr">
        <is>
          <t>As a person who shares a car I want to be alerted every time it's being used so that I can plan .</t>
        </is>
      </c>
    </row>
    <row r="1963">
      <c r="A1963" t="n">
        <v>2207</v>
      </c>
      <c r="B1963" t="inlineStr">
        <is>
          <t>As a teenager I want lights to change color so that I can express my creativity..</t>
        </is>
      </c>
    </row>
    <row r="1964">
      <c r="A1964" t="n">
        <v>2208</v>
      </c>
      <c r="B1964" t="inlineStr">
        <is>
          <t>As a home occupant I want My doors to sense automatically when my smart phone is within a certain distance from the front door and unlock themselves. so that I don't have to use a key anymore. .</t>
        </is>
      </c>
    </row>
    <row r="1965">
      <c r="A1965" t="n">
        <v>2209</v>
      </c>
      <c r="B1965" t="inlineStr">
        <is>
          <t>As a home owner I want the floors to heat up on cold mornings so that I can be warm..</t>
        </is>
      </c>
    </row>
    <row r="1966">
      <c r="A1966" t="n">
        <v>2210</v>
      </c>
      <c r="B1966" t="inlineStr">
        <is>
          <t>As a parent I want my smart home to let me know when my kids put something they shouldn't in the toilet. so that I don't have to call a plumber!.</t>
        </is>
      </c>
    </row>
    <row r="1967">
      <c r="A1967" t="n">
        <v>2211</v>
      </c>
      <c r="B1967" t="inlineStr">
        <is>
          <t>As a parent I want an alert when someone is near the pool so that I can be attentive..</t>
        </is>
      </c>
    </row>
    <row r="1968">
      <c r="A1968" t="n">
        <v>2212</v>
      </c>
      <c r="B1968" t="inlineStr">
        <is>
          <t>As a home occupant I want My home thermostat to automatically adjust to my body temperature  so that I don't ever have to adjust the temperature up or down .</t>
        </is>
      </c>
    </row>
    <row r="1969">
      <c r="A1969" t="n">
        <v>2213</v>
      </c>
      <c r="B1969" t="inlineStr">
        <is>
          <t>As a home owner I want Christmas lights to be set on a timer so that I can save energy..</t>
        </is>
      </c>
    </row>
    <row r="1970">
      <c r="A1970" t="n">
        <v>2214</v>
      </c>
      <c r="B1970" t="inlineStr">
        <is>
          <t>As a home occupant I want my smart home to start my coffee when my alarm goes off. so that I will have hot coffee and not have to worry about resetting the timer on the coffeepot every night..</t>
        </is>
      </c>
    </row>
    <row r="1971">
      <c r="A1971" t="n">
        <v>2215</v>
      </c>
      <c r="B1971" t="inlineStr">
        <is>
          <t>As a gamer I want To be able to remotely turn my consoles on a stream my games to any tv in my house so that I can game anywhere.</t>
        </is>
      </c>
    </row>
    <row r="1972">
      <c r="A1972" t="n">
        <v>2216</v>
      </c>
      <c r="B1972" t="inlineStr">
        <is>
          <t>As a home occupant I want my smart home to let me know if I left the oven on so that the house does not burn down.</t>
        </is>
      </c>
    </row>
    <row r="1973">
      <c r="A1973" t="n">
        <v>2217</v>
      </c>
      <c r="B1973" t="inlineStr">
        <is>
          <t>As a parent I want wi-fi to turn off at a certain hour so that children get off their devices.</t>
        </is>
      </c>
    </row>
    <row r="1974">
      <c r="A1974" t="n">
        <v>2218</v>
      </c>
      <c r="B1974" t="inlineStr">
        <is>
          <t>As a home occupant I want My refrigerator to notify me when an object has been inside more than four days  so that Less food goes to waste and things get thrown out or used before they spoil.</t>
        </is>
      </c>
    </row>
    <row r="1975">
      <c r="A1975" t="n">
        <v>2219</v>
      </c>
      <c r="B1975" t="inlineStr">
        <is>
          <t>As a home occupant I want my smart home to fully power down any device that is not in use for more than 30 minutes. so that I can save electricity..</t>
        </is>
      </c>
    </row>
    <row r="1976">
      <c r="A1976" t="n">
        <v>2220</v>
      </c>
      <c r="B1976" t="inlineStr">
        <is>
          <t>As a energy saver I want the outlet to be shut if not a certain amount of wattage has moved through in predetermine time so that save energy from phantom drain.</t>
        </is>
      </c>
    </row>
    <row r="1977">
      <c r="A1977" t="n">
        <v>2221</v>
      </c>
      <c r="B1977" t="inlineStr">
        <is>
          <t>As a home occupant I want Automatic flushing toilet so that I wont have to flush potentially spreading germs as I touch the handle.</t>
        </is>
      </c>
    </row>
    <row r="1978">
      <c r="A1978" t="n">
        <v>2222</v>
      </c>
      <c r="B1978" t="inlineStr">
        <is>
          <t>As a home occupant I want kitchen which tracks supplies by weight so that it can remind me when I'm getting low on items..</t>
        </is>
      </c>
    </row>
    <row r="1979">
      <c r="A1979" t="n">
        <v>2223</v>
      </c>
      <c r="B1979" t="inlineStr">
        <is>
          <t>As a home occupant I want my smart home to tell me if the garage door is open or closed so that I know if the house is secure.</t>
        </is>
      </c>
    </row>
    <row r="1980">
      <c r="A1980" t="n">
        <v>2224</v>
      </c>
      <c r="B1980" t="inlineStr">
        <is>
          <t>As a home owner I want appliances to not turn on when I am not home so that fires cannot start..</t>
        </is>
      </c>
    </row>
    <row r="1981">
      <c r="A1981" t="n">
        <v>2225</v>
      </c>
      <c r="B1981" t="inlineStr">
        <is>
          <t>As a roommate I want My shower to notify me when there is no hot water left in the hot water heater or approximately how many minutes of hot shower time I have.  so that I don't have to suffer through a cold shower and I know how long I need to wait..</t>
        </is>
      </c>
    </row>
    <row r="1982">
      <c r="A1982" t="n">
        <v>2226</v>
      </c>
      <c r="B1982" t="inlineStr">
        <is>
          <t>As a home owner I want a refigerator that can tell me when my store bought food will expire so that to reduce possible contamination and negating having to check.</t>
        </is>
      </c>
    </row>
    <row r="1983">
      <c r="A1983" t="n">
        <v>2227</v>
      </c>
      <c r="B1983" t="inlineStr">
        <is>
          <t>As a thrifty person I want alerts so that I can tell if too much energy is being expended..</t>
        </is>
      </c>
    </row>
    <row r="1984">
      <c r="A1984" t="n">
        <v>2228</v>
      </c>
      <c r="B1984" t="inlineStr">
        <is>
          <t>As a home occupant I want my smart home to respond to voice commands to open or close the garage door so that I don't have to go and close it at night, if it's open.</t>
        </is>
      </c>
    </row>
    <row r="1985">
      <c r="A1985" t="n">
        <v>2229</v>
      </c>
      <c r="B1985" t="inlineStr">
        <is>
          <t>As a home occupant I want the smarthome to assess the temperature outside and adjust the inside temperature appropriately so that I can feel more comfortable when the weather changes quickly..</t>
        </is>
      </c>
    </row>
    <row r="1986">
      <c r="A1986" t="n">
        <v>2230</v>
      </c>
      <c r="B1986" t="inlineStr">
        <is>
          <t>As a parent I want my smart home to text me when my kids come home from school so that I know they're safe.</t>
        </is>
      </c>
    </row>
    <row r="1987">
      <c r="A1987" t="n">
        <v>2231</v>
      </c>
      <c r="B1987" t="inlineStr">
        <is>
          <t>As a home occupant I want the door bell to have an option send a text message rather than ring so that I do not wake other people asleep in the house when someone comes to the door.</t>
        </is>
      </c>
    </row>
    <row r="1988">
      <c r="A1988" t="n">
        <v>2232</v>
      </c>
      <c r="B1988" t="inlineStr">
        <is>
          <t>As a parent I want a smarthome to alert me when a young child upstairs is too close to the stairs so that my child stays safer and I can have more peace of mind.</t>
        </is>
      </c>
    </row>
    <row r="1989">
      <c r="A1989" t="n">
        <v>2233</v>
      </c>
      <c r="B1989" t="inlineStr">
        <is>
          <t>As a home owner I want blue light from electronics to be reduced after the sun goes down so that I can sleep better at night..</t>
        </is>
      </c>
    </row>
    <row r="1990">
      <c r="A1990" t="n">
        <v>2234</v>
      </c>
      <c r="B1990" t="inlineStr">
        <is>
          <t>As a parent I want my smart home to automatically shut off all video games after 45 minutes of play so that my son doesn't sit there all day and play games while I'm working.</t>
        </is>
      </c>
    </row>
    <row r="1991">
      <c r="A1991" t="n">
        <v>2235</v>
      </c>
      <c r="B1991" t="inlineStr">
        <is>
          <t>As a home occupant I want the rooms to be pre-heated or cooled when more energy is usually available so that it is cheaper to cool or heat the house during high energy usage hours..</t>
        </is>
      </c>
    </row>
    <row r="1992">
      <c r="A1992" t="n">
        <v>2236</v>
      </c>
      <c r="B1992" t="inlineStr">
        <is>
          <t>As a home owner I want an alert when someone comes to the door so that I can see who is there..</t>
        </is>
      </c>
    </row>
    <row r="1993">
      <c r="A1993" t="n">
        <v>2237</v>
      </c>
      <c r="B1993" t="inlineStr">
        <is>
          <t>As a home occupant I want smarthome feature that alerts me when any medium or large animals are near my house outside so that I can feel safer when I let my small dogs out at night.</t>
        </is>
      </c>
    </row>
    <row r="1994">
      <c r="A1994" t="n">
        <v>2238</v>
      </c>
      <c r="B1994" t="inlineStr">
        <is>
          <t>As a homemaker I want my smart home to let me know when I'm running low on pantry and refrigerator staples so that I will have a list ready when I go to the store.</t>
        </is>
      </c>
    </row>
    <row r="1995">
      <c r="A1995" t="n">
        <v>2239</v>
      </c>
      <c r="B1995" t="inlineStr">
        <is>
          <t>As a home occupant I want Kitchen that can produce recipes based on the food I have bought from the store so that I can try new foods.</t>
        </is>
      </c>
    </row>
    <row r="1996">
      <c r="A1996" t="n">
        <v>2240</v>
      </c>
      <c r="B1996" t="inlineStr">
        <is>
          <t>As a child I want an alarm on my door so that I can tell if my annoying brother or sister tries to come in my room..</t>
        </is>
      </c>
    </row>
    <row r="1997">
      <c r="A1997" t="n">
        <v>2241</v>
      </c>
      <c r="B1997" t="inlineStr">
        <is>
          <t>As a home occupant I want smarthome feature that turns on preselected music/news/audiobook/etc. when I turn the shower on so that I can easily enjoy something to keep my attention while taking a shower..</t>
        </is>
      </c>
    </row>
    <row r="1998">
      <c r="A1998" t="n">
        <v>2242</v>
      </c>
      <c r="B1998" t="inlineStr">
        <is>
          <t>As a parent I want an alert when someone is near the stairs so that I can be attentive..</t>
        </is>
      </c>
    </row>
    <row r="1999">
      <c r="A1999" t="n">
        <v>2243</v>
      </c>
      <c r="B1999" t="inlineStr">
        <is>
          <t>As a visually impaired person I want Soft lights on the floors of hallways at night so that I am not blind trying to vemture anywhere in house at night with the lights off.</t>
        </is>
      </c>
    </row>
    <row r="2000">
      <c r="A2000" t="n">
        <v>2244</v>
      </c>
      <c r="B2000" t="inlineStr">
        <is>
          <t>As a home occupant I want My washer and dryer to alert me on my smart phone or through my smart home when a laundry cycle is done  so that I automatically know when to change my clothes over even if I'm in a different part of the house or even somewhere outside. .</t>
        </is>
      </c>
    </row>
    <row r="2001">
      <c r="A2001" t="n">
        <v>2245</v>
      </c>
      <c r="B2001" t="inlineStr">
        <is>
          <t>As a home occupant I want a bath tub that can sense the present temperature of the water in it so that one can see if the tub is too hot or to cold, and alert me accordingly.</t>
        </is>
      </c>
    </row>
    <row r="2002">
      <c r="A2002" t="n">
        <v>2246</v>
      </c>
      <c r="B2002" t="inlineStr">
        <is>
          <t>As a parent I want smart features attached to appliances such as the oven, microwave, gun safes so that children would not be able to access their functions without voice commands provided by parents..</t>
        </is>
      </c>
    </row>
    <row r="2003">
      <c r="A2003" t="n">
        <v>2247</v>
      </c>
      <c r="B2003" t="inlineStr">
        <is>
          <t>As a home occupant I want feature where the smarthome sends an alert to my smartphone when the laundry is almost done so that I can quickly take the clothes out while still warm.</t>
        </is>
      </c>
    </row>
    <row r="2004">
      <c r="A2004" t="n">
        <v>2248</v>
      </c>
      <c r="B2004" t="inlineStr">
        <is>
          <t>As a home occupant I want smarthome feature that closes the blinds in my bedroom when it gets lighter outside, then opens them back up at a certain wake-up time so that I can leave my blinds open to see the sky as I go to sleep but won't be woken by early morning sunlight, but will get the sunlight when I should wake up..</t>
        </is>
      </c>
    </row>
    <row r="2005">
      <c r="A2005" t="n">
        <v>2249</v>
      </c>
      <c r="B2005" t="inlineStr">
        <is>
          <t>As a home occupant I want automatic windows so that the home gets fresh air when the weather is suitable for windows to be open..</t>
        </is>
      </c>
    </row>
    <row r="2006">
      <c r="A2006" t="n">
        <v>2250</v>
      </c>
      <c r="B2006" t="inlineStr">
        <is>
          <t>As a home occupant I want To be able to start up and track any and all appliances in my house from my smart phone including turning on or adjusting the heat on the stove, operating the washer, dryer, shower, microwave, etc.  so that I can manage my time better. I.E. I'm in a different part of the house and I hear a pot on the stove boiling over, I can turn it down to a low setting. .</t>
        </is>
      </c>
    </row>
    <row r="2007">
      <c r="A2007" t="n">
        <v>2251</v>
      </c>
      <c r="B2007" t="inlineStr">
        <is>
          <t>As a home occupant I want smarthome feature that will sense when a person is in the room and quickly heat/cool it so that I can save energy when no one is in a room but can quickly and easily make a room comfortable as someone enters it..</t>
        </is>
      </c>
    </row>
    <row r="2008">
      <c r="A2008" t="n">
        <v>2252</v>
      </c>
      <c r="B2008" t="inlineStr">
        <is>
          <t>As a home occupant I want a security system which can be set to account for visitors so that a person opening the door to the wrong person would set an alarm if the occupant did not clear that person's entry.</t>
        </is>
      </c>
    </row>
    <row r="2009">
      <c r="A2009" t="n">
        <v>2253</v>
      </c>
      <c r="B2009" t="inlineStr">
        <is>
          <t>As a music lover I want My smart home to be prompted to ask me when I get home if I would like to listen to music, and allow me to select what I would like to listen to through a verbal menu.  so that I can get music conveniently and easily, and save more time for relaxing after work. .</t>
        </is>
      </c>
    </row>
    <row r="2010">
      <c r="A2010" t="n">
        <v>2254</v>
      </c>
      <c r="B2010" t="inlineStr">
        <is>
          <t>As a plant owner I want an alert/light on/noise made from my smarthome when a living animal comes near my garden at night so that I can prevent my garden being eaten up by animals such as deer..</t>
        </is>
      </c>
    </row>
    <row r="2011">
      <c r="A2011" t="n">
        <v>2255</v>
      </c>
      <c r="B2011" t="inlineStr">
        <is>
          <t>As a dog owner I want sensor lights so that lights will open when dog is eating.</t>
        </is>
      </c>
    </row>
    <row r="2012">
      <c r="A2012" t="n">
        <v>2256</v>
      </c>
      <c r="B2012" t="inlineStr">
        <is>
          <t>As a parent I want smarthome feature that alerts me when certain cabinets are being opened so that I can help keep my children from getting into anything dangerous by accident.</t>
        </is>
      </c>
    </row>
    <row r="2013">
      <c r="A2013" t="n">
        <v>2257</v>
      </c>
      <c r="B2013" t="inlineStr">
        <is>
          <t>As a tv lover I want a system which tracks all the movies currently available across all of my devices so that I can easily access my favorite movies.</t>
        </is>
      </c>
    </row>
    <row r="2014">
      <c r="A2014" t="n">
        <v>2258</v>
      </c>
      <c r="B2014" t="inlineStr">
        <is>
          <t>As a homemaker I want my smart home to let me know if I've left clothes in the washer for too long so that they don't get that nasty funk.</t>
        </is>
      </c>
    </row>
    <row r="2015">
      <c r="A2015" t="n">
        <v>2259</v>
      </c>
      <c r="B2015" t="inlineStr">
        <is>
          <t>As a home occupant I want smarthome feature that wakes/turns on my computer at a certain time and pulls up websites I specify so that I can be ready to get on and work straight away when I'm ready without leaving the computer on all night..</t>
        </is>
      </c>
    </row>
    <row r="2016">
      <c r="A2016" t="n">
        <v>2260</v>
      </c>
      <c r="B2016" t="inlineStr">
        <is>
          <t>As a internet worker I want a screen to be projected on any wall or perhaps like a hologram in any room including the shop or shed so that can keep aware of work that comes up wherever on the place I am.</t>
        </is>
      </c>
    </row>
    <row r="2017">
      <c r="A2017" t="n">
        <v>2261</v>
      </c>
      <c r="B2017" t="inlineStr">
        <is>
          <t>As a home occupant I want my home to track my medication usage so that it can remind me when to take medication.</t>
        </is>
      </c>
    </row>
    <row r="2018">
      <c r="A2018" t="n">
        <v>2262</v>
      </c>
      <c r="B2018" t="inlineStr">
        <is>
          <t>As a energy saver I want a furnace that can sense the temperature in multiple rooms  so that hut off vents in rooms based on user preference for that room.</t>
        </is>
      </c>
    </row>
    <row r="2019">
      <c r="A2019" t="n">
        <v>2263</v>
      </c>
      <c r="B2019" t="inlineStr">
        <is>
          <t>As a home occupant I want to be able to tell the house I am going to take a shower or bath and for the hot water to be prepared in advanced so that When I enter the bathroom I can immediately take a shower or bath without having to wait for the water to warm.</t>
        </is>
      </c>
    </row>
    <row r="2020">
      <c r="A2020" t="n">
        <v>2264</v>
      </c>
      <c r="B2020" t="inlineStr">
        <is>
          <t>As a home occupant I want bathtub faucet controller so that bathtub water can be opened without bending down..</t>
        </is>
      </c>
    </row>
    <row r="2021">
      <c r="A2021" t="n">
        <v>2265</v>
      </c>
      <c r="B2021" t="inlineStr">
        <is>
          <t>As a electric furnace owner I want the ability to sense and shut off multiple elements based on heat usage so that I do not need to heat up all of the elements when only need to heat a couple of degrees, thus saving money.</t>
        </is>
      </c>
    </row>
    <row r="2022">
      <c r="A2022" t="n">
        <v>2266</v>
      </c>
      <c r="B2022" t="inlineStr">
        <is>
          <t>As a home occupant I want Unused or unneeded electronics to automatically be placed on a low power mode  so that Unneeded energy not be wasted.</t>
        </is>
      </c>
    </row>
    <row r="2023">
      <c r="A2023" t="n">
        <v>2267</v>
      </c>
      <c r="B2023" t="inlineStr">
        <is>
          <t>As a green citizen I want have an energy usage graph provided so that have a log of best use of energy and suggestions of settings that would save even more..</t>
        </is>
      </c>
    </row>
    <row r="2024">
      <c r="A2024" t="n">
        <v>2268</v>
      </c>
      <c r="B2024" t="inlineStr">
        <is>
          <t>As a home occupant I want automatic gutter cleaner so that gutters can be cleaned on a regular bases.</t>
        </is>
      </c>
    </row>
    <row r="2025">
      <c r="A2025" t="n">
        <v>2269</v>
      </c>
      <c r="B2025" t="inlineStr">
        <is>
          <t>As a home occupant I want My smart home to automatically work to put out fires if one should arise. When the smoke detector goes off, I want there to be a sprinkler system or a high pressure hydraulic system in place that will work to at least fight the fire if not put it out completely. I imagine a future filled with "fireproof houses" In this future our smoke detectors are going to need to be a lot better to avoid them going off at happenstance times or malfunctioning. But I would much rather my stuff be soaked in an instance like this than for my house to be completely destroyed by a fire.  so that The home remains safe .</t>
        </is>
      </c>
    </row>
    <row r="2026">
      <c r="A2026" t="n">
        <v>2270</v>
      </c>
      <c r="B2026" t="inlineStr">
        <is>
          <t>As a home occupant I want a feature tied to my dishwasher and/or washing machine with an ability to run the machines automatically during low usage times. so that I pay lower water bills.</t>
        </is>
      </c>
    </row>
    <row r="2027">
      <c r="A2027" t="n">
        <v>2271</v>
      </c>
      <c r="B2027" t="inlineStr">
        <is>
          <t>As a home occupant I want Wireless Charging of phones so that Phones don't need to be tethered to wall sockets while charging.</t>
        </is>
      </c>
    </row>
    <row r="2028">
      <c r="A2028" t="n">
        <v>2272</v>
      </c>
      <c r="B2028" t="inlineStr">
        <is>
          <t>As a home occupant I want noise played when visitor is approaching home so that it keeps the home safe when no one is home, busy or sleeping.</t>
        </is>
      </c>
    </row>
    <row r="2029">
      <c r="A2029" t="n">
        <v>2273</v>
      </c>
      <c r="B2029" t="inlineStr">
        <is>
          <t>As a parent I want  which tracks the usage of electronics in the house so that we can review and limit certain electronics usage for children.</t>
        </is>
      </c>
    </row>
    <row r="2030">
      <c r="A2030" t="n">
        <v>2274</v>
      </c>
      <c r="B2030" t="inlineStr">
        <is>
          <t>As a home occupant I want moisture detection so that leaks are fixed before something major happens.</t>
        </is>
      </c>
    </row>
    <row r="2031">
      <c r="A2031" t="n">
        <v>2275</v>
      </c>
      <c r="B2031" t="inlineStr">
        <is>
          <t>As a home occupant I want Every single item and appliance in my home to have advanced safety features in the event of a break in. Since every item is smart, all my appliances, my TV, etc should be able to communicate or send alerts to my smart phone in the event that someone in my house is tampering with them. Maybe a smart phone alert when something becomes unplugged, for example. Combined with a full series of motion sensor and body heat detection features indoors, and outdoor security features such as automated cameras, I envision the future of the ultimate secure smart home.  so that Our home can be safe and burglary free. .</t>
        </is>
      </c>
    </row>
    <row r="2032">
      <c r="A2032" t="n">
        <v>2276</v>
      </c>
      <c r="B2032" t="inlineStr">
        <is>
          <t>As a home occupant I want garage door controller so that open/close garage door.</t>
        </is>
      </c>
    </row>
    <row r="2033">
      <c r="A2033" t="n">
        <v>2278</v>
      </c>
      <c r="B2033" t="inlineStr">
        <is>
          <t>As a home owner I want a circuit panel with smart sensing abilities  so that it will ready how much electricity is used per circuit, and alert if the breaker is tripped.</t>
        </is>
      </c>
    </row>
    <row r="2034">
      <c r="A2034" t="n">
        <v>2279</v>
      </c>
      <c r="B2034" t="inlineStr">
        <is>
          <t>As a home occupant I want the smart house to warn me of local emergency warnings (and make preparations based on threat level). so that I can be advised of emergencies as early as possible.</t>
        </is>
      </c>
    </row>
    <row r="2035">
      <c r="A2035" t="n">
        <v>2280</v>
      </c>
      <c r="B2035" t="inlineStr">
        <is>
          <t>As a home occupant I want home appliance universal remote so that I can remotely control electronic devices throutout the home.</t>
        </is>
      </c>
    </row>
    <row r="2036">
      <c r="A2036" t="n">
        <v>2281</v>
      </c>
      <c r="B2036" t="inlineStr">
        <is>
          <t>As a owner concerned about health I want scan function  so that all beings in the home regardless of room would be scanned with a new sonar-like function for life threatening bio changes and appropriate alerts triggered for such things as temp spikes, blood pressure crisis, etc.</t>
        </is>
      </c>
    </row>
    <row r="2037">
      <c r="A2037" t="n">
        <v>2282</v>
      </c>
      <c r="B2037" t="inlineStr">
        <is>
          <t>As a home occupant I want be able to close any door in the house from anywhere in the house so that I can have safety and privacy.</t>
        </is>
      </c>
    </row>
    <row r="2038">
      <c r="A2038" t="n">
        <v>2283</v>
      </c>
      <c r="B2038" t="inlineStr">
        <is>
          <t>As a home occupant I want remotely access camfeeds so that I can check in on elderly parents and pets.</t>
        </is>
      </c>
    </row>
    <row r="2039">
      <c r="A2039" t="n">
        <v>2284</v>
      </c>
      <c r="B2039" t="inlineStr">
        <is>
          <t>As a home occupant I want plant moisture detector so that plants are watered in a timely manner.</t>
        </is>
      </c>
    </row>
    <row r="2040">
      <c r="A2040" t="n">
        <v>2285</v>
      </c>
      <c r="B2040" t="inlineStr">
        <is>
          <t>As a student I want the house to block out sounds from outside my room when studying  so that I can have peace and quiet when working.</t>
        </is>
      </c>
    </row>
    <row r="2041">
      <c r="A2041" t="n">
        <v>2286</v>
      </c>
      <c r="B2041" t="inlineStr">
        <is>
          <t>As a home occupant I want My smart home to have a dish washer that communicates when the dishes are done either through my smart phone or through the smart home itself. Perhaps a self loading soap system where instead of loading the machine for every cycle i'm able to load multiple soap packets and it will automatically go through them until it's empty. I should be to check the status of the machine(full, empty, needs to be run, finished running) at any time.  so that It's more convenient for me when washing dishes. .</t>
        </is>
      </c>
    </row>
    <row r="2042">
      <c r="A2042" t="n">
        <v>2287</v>
      </c>
      <c r="B2042" t="inlineStr">
        <is>
          <t>As a home occupant I want a refigerator that can tell me when my store bought food will expire so that to reduce possible contamination and negating having to check.</t>
        </is>
      </c>
    </row>
    <row r="2043">
      <c r="A2043" t="n">
        <v>2288</v>
      </c>
      <c r="B2043" t="inlineStr">
        <is>
          <t>As a home owner I want a sensor that will notes when people are within a certain perminitor of the house so that if I am not home, a speaker can randomly play back conversation to create the illusion that someone is home.</t>
        </is>
      </c>
    </row>
    <row r="2044">
      <c r="A2044" t="n">
        <v>2289</v>
      </c>
      <c r="B2044" t="inlineStr">
        <is>
          <t>As a home owner I want an air purifier that notes when doors or windows are open so that it will shut off when the house is not closed up.</t>
        </is>
      </c>
    </row>
    <row r="2045">
      <c r="A2045" t="n">
        <v>2290</v>
      </c>
      <c r="B2045" t="inlineStr">
        <is>
          <t>As a energy innovator I want shields or screens  for windows so that they can automatically be deployed to shade/insulate windows or sides of the home to reduce heat gain from the sun in the summer or heat loss in the winter especially when everyone is sleeping or no one is at home or in that section of the home..</t>
        </is>
      </c>
    </row>
    <row r="2046">
      <c r="A2046" t="n">
        <v>2291</v>
      </c>
      <c r="B2046" t="inlineStr">
        <is>
          <t>As a parent and grandchild I want sensors in all rooms so that if someone falls or cries out for help assistance will be forth coming..</t>
        </is>
      </c>
    </row>
    <row r="2047">
      <c r="A2047" t="n">
        <v>2292</v>
      </c>
      <c r="B2047" t="inlineStr">
        <is>
          <t>As a home owner I want the ability to remotely tell what doors or windows are opened or closed in a house so that I can be alerted if the doors are opened when they should not be (e.g., a child is trying to sneak out). .</t>
        </is>
      </c>
    </row>
    <row r="2048">
      <c r="A2048" t="n">
        <v>2293</v>
      </c>
      <c r="B2048" t="inlineStr">
        <is>
          <t>As a video/electronic consumer I want algorithm suggestions so that in any room suggestions like because you choose this _____, you might also enjoy ______.</t>
        </is>
      </c>
    </row>
    <row r="2049">
      <c r="A2049" t="n">
        <v>2294</v>
      </c>
      <c r="B2049" t="inlineStr">
        <is>
          <t>As a health conscious consumer I want any room reminders so that notices for vitamins, medicine or energy drinks schedules won't be missed.</t>
        </is>
      </c>
    </row>
    <row r="2050">
      <c r="A2050" t="n">
        <v>2295</v>
      </c>
      <c r="B2050" t="inlineStr">
        <is>
          <t>As a home occupant I want to be able to tell the room how bright I want it so that I can dim or turn off lights without needing to get out of bed.</t>
        </is>
      </c>
    </row>
    <row r="2051">
      <c r="A2051" t="n">
        <v>2296</v>
      </c>
      <c r="B2051" t="inlineStr">
        <is>
          <t>As a home owner I want the ability to tell a door in a room to open or close, plus lock so that I can walk into or out of a room when my hands are full.</t>
        </is>
      </c>
    </row>
    <row r="2052">
      <c r="A2052" t="n">
        <v>2297</v>
      </c>
      <c r="B2052" t="inlineStr">
        <is>
          <t>As a home owner I want smoke, slippery floor, etc detector so that that would warn of danger in a room and or in a room about to be entered.</t>
        </is>
      </c>
    </row>
    <row r="2053">
      <c r="A2053" t="n">
        <v>2298</v>
      </c>
      <c r="B2053" t="inlineStr">
        <is>
          <t>As a pet owner I want flea sesors so that I will know as soon as my pet has a flea.</t>
        </is>
      </c>
    </row>
    <row r="2054">
      <c r="A2054" t="n">
        <v>2299</v>
      </c>
      <c r="B2054" t="inlineStr">
        <is>
          <t>As a home occupant I want my ac to turn off when I leave home so that I'm not wasting energy when I'm running errands..</t>
        </is>
      </c>
    </row>
    <row r="2055">
      <c r="A2055" t="n">
        <v>2300</v>
      </c>
      <c r="B2055" t="inlineStr">
        <is>
          <t>As a family person I want voice command video so that when a special moment is about to occur I won't have to hunt up a camera or phone to capture the moment. Also this way everyone can be included instead of the camera operator being left out..</t>
        </is>
      </c>
    </row>
    <row r="2056">
      <c r="A2056" t="n">
        <v>2301</v>
      </c>
      <c r="B2056" t="inlineStr">
        <is>
          <t>As a home occupant I want oven to text my phone so that I know when food is done cooking and don't burn anything..</t>
        </is>
      </c>
    </row>
    <row r="2057">
      <c r="A2057" t="n">
        <v>2302</v>
      </c>
      <c r="B2057" t="inlineStr">
        <is>
          <t>As a home occupant I want my fridge to remind me to buy fruits and vegetables so that I can keep health food in the house..</t>
        </is>
      </c>
    </row>
    <row r="2058">
      <c r="A2058" t="n">
        <v>2303</v>
      </c>
      <c r="B2058" t="inlineStr">
        <is>
          <t>As a home occupant I want fridge to let me know when food is going bad so that I can eat it to keep from wasting food..</t>
        </is>
      </c>
    </row>
    <row r="2059">
      <c r="A2059" t="n">
        <v>2304</v>
      </c>
      <c r="B2059" t="inlineStr">
        <is>
          <t>As a home occupant I want to be able to shut off power in a part of the home that is not occupied so that I save on energy in guestrooms etc..</t>
        </is>
      </c>
    </row>
    <row r="2060">
      <c r="A2060" t="n">
        <v>2305</v>
      </c>
      <c r="B2060" t="inlineStr">
        <is>
          <t>As a home owner I want my doors to lock and unlock by voice recognition so that only certain people can enter my home..</t>
        </is>
      </c>
    </row>
    <row r="2061">
      <c r="A2061" t="n">
        <v>2306</v>
      </c>
      <c r="B2061" t="inlineStr">
        <is>
          <t>As a home occupant I want my tv to automatically continue a program from my iPad so that I can continue watching where I left off..</t>
        </is>
      </c>
    </row>
    <row r="2062">
      <c r="A2062" t="n">
        <v>2307</v>
      </c>
      <c r="B2062" t="inlineStr">
        <is>
          <t>As a home occupant I want my remind me to drink water so that I can be healthier.</t>
        </is>
      </c>
    </row>
    <row r="2063">
      <c r="A2063" t="n">
        <v>2308</v>
      </c>
      <c r="B2063" t="inlineStr">
        <is>
          <t>As a home occupant I want to only warm occupied rooms in the winter so that I can save on heating cost..</t>
        </is>
      </c>
    </row>
    <row r="2064">
      <c r="A2064" t="n">
        <v>2309</v>
      </c>
      <c r="B2064" t="inlineStr">
        <is>
          <t>As a home occupant I want built in bluetooth or wireless speaker in all rooms. so that if I'm moving around, music will follow me from room to room..</t>
        </is>
      </c>
    </row>
    <row r="2065">
      <c r="A2065" t="n">
        <v>2315</v>
      </c>
      <c r="B2065" t="inlineStr">
        <is>
          <t>As a dog owner I want to know when my pets have to go to the bathroom so that I can take them out before they poop in the house.</t>
        </is>
      </c>
    </row>
    <row r="2066">
      <c r="A2066" t="n">
        <v>2316</v>
      </c>
      <c r="B2066" t="inlineStr">
        <is>
          <t>As a pet owner I want to know when my dog food supply is low so that I can buy more dog food.</t>
        </is>
      </c>
    </row>
    <row r="2067">
      <c r="A2067" t="n">
        <v>2321</v>
      </c>
      <c r="B2067" t="inlineStr">
        <is>
          <t>As a home owner I want to know when my home has an unauthorized entrant  so that I am safe.</t>
        </is>
      </c>
    </row>
    <row r="2068">
      <c r="A2068" t="n">
        <v>2322</v>
      </c>
      <c r="B2068" t="inlineStr">
        <is>
          <t>As a person active at night I want all lights in the house to respond to voice commands so that I can easily turn them on and off when entering or leaving a room at night..</t>
        </is>
      </c>
    </row>
    <row r="2069">
      <c r="A2069" t="n">
        <v>2324</v>
      </c>
      <c r="B2069" t="inlineStr">
        <is>
          <t>As a home owner I want to keep temperature within reasonable costs so that I have low energy costs.</t>
        </is>
      </c>
    </row>
    <row r="2070">
      <c r="A2070" t="n">
        <v>2325</v>
      </c>
      <c r="B2070" t="inlineStr">
        <is>
          <t>As a husband I want to wake wife up by 8 am so that wife doesn't oversleep.</t>
        </is>
      </c>
    </row>
    <row r="2071">
      <c r="A2071" t="n">
        <v>2326</v>
      </c>
      <c r="B2071" t="inlineStr">
        <is>
          <t>As a regular television viewer I want to be able to program the entertainment system to turn on according to a pre-set schedule so that I can always be sure not to miss certain shows and sporting events..</t>
        </is>
      </c>
    </row>
    <row r="2072">
      <c r="A2072" t="n">
        <v>2327</v>
      </c>
      <c r="B2072" t="inlineStr">
        <is>
          <t>As a home owner I want a comfortable temperature so that the temperature doesn't vary between 68-76 degrees.</t>
        </is>
      </c>
    </row>
    <row r="2073">
      <c r="A2073" t="n">
        <v>2328</v>
      </c>
      <c r="B2073" t="inlineStr">
        <is>
          <t>As a home owner I want lights to remain on only when needed so that lights go off when not in use.</t>
        </is>
      </c>
    </row>
    <row r="2074">
      <c r="A2074" t="n">
        <v>2329</v>
      </c>
      <c r="B2074" t="inlineStr">
        <is>
          <t>As a coffee drinker I want coffee to brew before it is needed so that coffee is ready to drink asap.</t>
        </is>
      </c>
    </row>
    <row r="2075">
      <c r="A2075" t="n">
        <v>2330</v>
      </c>
      <c r="B2075" t="inlineStr">
        <is>
          <t>As a head of household I want to be able to easily check if all doors in the house are locked via an app or voice command so that I can be sure my family and belongings are safe at night or when away from home..</t>
        </is>
      </c>
    </row>
    <row r="2076">
      <c r="A2076" t="n">
        <v>2331</v>
      </c>
      <c r="B2076" t="inlineStr">
        <is>
          <t>As a alcohol drinker I want alcohol supplies to be maintained.  so that there is sufficient alcohol..</t>
        </is>
      </c>
    </row>
    <row r="2077">
      <c r="A2077" t="n">
        <v>2332</v>
      </c>
      <c r="B2077" t="inlineStr">
        <is>
          <t>As a person trying to lose weight I want a computer to keep track of my calorie intake/outake so that I lose weight.</t>
        </is>
      </c>
    </row>
    <row r="2078">
      <c r="A2078" t="n">
        <v>2333</v>
      </c>
      <c r="B2078" t="inlineStr">
        <is>
          <t>As a video gamer I want offer the best video games so that the best video games are on offer.</t>
        </is>
      </c>
    </row>
    <row r="2079">
      <c r="A2079" t="n">
        <v>2334</v>
      </c>
      <c r="B2079" t="inlineStr">
        <is>
          <t>As a conserver of energy I want to be able to calculate my energy savings by doing certain tasks such as drying laundry on a clothesline so that I can quantify the results of my energy-saving decisions..</t>
        </is>
      </c>
    </row>
    <row r="2080">
      <c r="A2080" t="n">
        <v>2335</v>
      </c>
      <c r="B2080" t="inlineStr">
        <is>
          <t>As a gambler I want to  break even gambling so that I don't do irreparable damage to my finances .</t>
        </is>
      </c>
    </row>
    <row r="2081">
      <c r="A2081" t="n">
        <v>2336</v>
      </c>
      <c r="B2081" t="inlineStr">
        <is>
          <t>As a frequent allergy sufferer I want to monitor pollen levels within the home or around the exterior so that I can plan ahead and take medications if necessary..</t>
        </is>
      </c>
    </row>
    <row r="2082">
      <c r="A2082" t="n">
        <v>2337</v>
      </c>
      <c r="B2082" t="inlineStr">
        <is>
          <t>As a mma fan I want to be able to bet  so that I can win when I bet on a fighter.</t>
        </is>
      </c>
    </row>
    <row r="2083">
      <c r="A2083" t="n">
        <v>2338</v>
      </c>
      <c r="B2083" t="inlineStr">
        <is>
          <t>As a punk rocker I want to listen to punk rock so that so I can listen to punk rock.</t>
        </is>
      </c>
    </row>
    <row r="2084">
      <c r="A2084" t="n">
        <v>2339</v>
      </c>
      <c r="B2084" t="inlineStr">
        <is>
          <t>As a raver I want to listen to the best electronic music so that I hear only the best electronic music.</t>
        </is>
      </c>
    </row>
    <row r="2085">
      <c r="A2085" t="n">
        <v>2340</v>
      </c>
      <c r="B2085" t="inlineStr">
        <is>
          <t>As a aspiring baker I want to bake so that my baked goods are considered delicious.</t>
        </is>
      </c>
    </row>
    <row r="2086">
      <c r="A2086" t="n">
        <v>2341</v>
      </c>
      <c r="B2086" t="inlineStr">
        <is>
          <t>As a member of a bilingual household I want a smarthome that delivers messages and responds to commands in multiple languages so that all members of my family can easily take advantage of such features..</t>
        </is>
      </c>
    </row>
    <row r="2087">
      <c r="A2087" t="n">
        <v>2342</v>
      </c>
      <c r="B2087" t="inlineStr">
        <is>
          <t>As a fantasy enthusiast I want fantasy LARP enthusiast so that live action roleplaying is considered fun.</t>
        </is>
      </c>
    </row>
    <row r="2088">
      <c r="A2088" t="n">
        <v>2343</v>
      </c>
      <c r="B2088" t="inlineStr">
        <is>
          <t>As a person who enjoys an occasional bath I want a water heating system that can be set to the exact degree so that we eliminate guesswork when filling a bathtub with water of an appropriate temperature..</t>
        </is>
      </c>
    </row>
    <row r="2089">
      <c r="A2089" t="n">
        <v>2344</v>
      </c>
      <c r="B2089" t="inlineStr">
        <is>
          <t>As a follower of a specific morning routine I want a heating system that activates in the kitchen or bathroom according to the time set on an alarm clock so that during the winter it is easier to get out of bed and start the day in a cold house..</t>
        </is>
      </c>
    </row>
    <row r="2090">
      <c r="A2090" t="n">
        <v>2345</v>
      </c>
      <c r="B2090" t="inlineStr">
        <is>
          <t>As a person concerned with following directions I want digital, voice activated timers in certain areas of the house so that I can easily ensure that I am brushing my teeth for the appropriate amount of time, cooking something long enough, etc..</t>
        </is>
      </c>
    </row>
    <row r="2091">
      <c r="A2091" t="n">
        <v>2346</v>
      </c>
      <c r="B2091" t="inlineStr">
        <is>
          <t>As a person who carries many keys for work I want the ability to lock and unlock the front door of my house with a simple touch if the "key" is on my person (as in some cars) so that Coming and going from home at various times, in a variety of weather conditions and/or with my hands full is simple..</t>
        </is>
      </c>
    </row>
    <row r="2092">
      <c r="A2092" t="n">
        <v>2347</v>
      </c>
      <c r="B2092" t="inlineStr">
        <is>
          <t>As a parent I want all cabinets, kitchen drawers, and stair gates to be locked when children are playing so that they don't get hurt .</t>
        </is>
      </c>
    </row>
    <row r="2093">
      <c r="A2093" t="n">
        <v>2348</v>
      </c>
      <c r="B2093" t="inlineStr">
        <is>
          <t>As a home owner I want my bedroom humidifier to turn on at 11pm every night so that I can sleep comfortably through the night .</t>
        </is>
      </c>
    </row>
    <row r="2094">
      <c r="A2094" t="n">
        <v>2349</v>
      </c>
      <c r="B2094" t="inlineStr">
        <is>
          <t>As a pet I want food dispensed into my bowl 3 times a day so that I will be fed when my owners are out.</t>
        </is>
      </c>
    </row>
    <row r="2095">
      <c r="A2095" t="n">
        <v>2350</v>
      </c>
      <c r="B2095" t="inlineStr">
        <is>
          <t>As a home occupant I want the floors to be heated when the temperature goes below 65 degrees F so that the rooms can be warm and cozy.</t>
        </is>
      </c>
    </row>
    <row r="2096">
      <c r="A2096" t="n">
        <v>2351</v>
      </c>
      <c r="B2096" t="inlineStr">
        <is>
          <t>As a home occupant I want there to be a cap on the water pressure in the kitchen sink so that when people wash the dishes they won't blast the water and waste it.</t>
        </is>
      </c>
    </row>
    <row r="2097">
      <c r="A2097" t="n">
        <v>2353</v>
      </c>
      <c r="B2097" t="inlineStr">
        <is>
          <t>As a parent I want a sliding shower head that adjusts to height so that my children can take a shower on their own.</t>
        </is>
      </c>
    </row>
    <row r="2098">
      <c r="A2098" t="n">
        <v>2354</v>
      </c>
      <c r="B2098" t="inlineStr">
        <is>
          <t>As a home occupant I want eye detection locks so that if I forget my keys, I won't get locked out of the house.</t>
        </is>
      </c>
    </row>
    <row r="2099">
      <c r="A2099" t="n">
        <v>2355</v>
      </c>
      <c r="B2099" t="inlineStr">
        <is>
          <t>As a home occupant I want face detection for people who come to the front door so that I can know who it is before answering the door.</t>
        </is>
      </c>
    </row>
    <row r="2100">
      <c r="A2100" t="n">
        <v>2356</v>
      </c>
      <c r="B2100" t="inlineStr">
        <is>
          <t>As a parent I want transformable stairs that become soft and bouncy when people slip and fall so that when they do fall, they will have something soft to land on and not get hurt.</t>
        </is>
      </c>
    </row>
    <row r="2101">
      <c r="A2101" t="n">
        <v>2357</v>
      </c>
      <c r="B2101" t="inlineStr">
        <is>
          <t>As a gardener I want pest detection so that when raccoons and squirrels come to attack my plants, they will be warded off.</t>
        </is>
      </c>
    </row>
    <row r="2102">
      <c r="A2102" t="n">
        <v>2358</v>
      </c>
      <c r="B2102" t="inlineStr">
        <is>
          <t>As a hypochondriac I want my home to be able to sense when I have a fever so that the climate control can be adapted to assist with the chills..</t>
        </is>
      </c>
    </row>
    <row r="2103">
      <c r="A2103" t="n">
        <v>2359</v>
      </c>
      <c r="B2103" t="inlineStr">
        <is>
          <t>As a foodie I want my refrigerator to know how long my food has been inside so that the food doesn't go to waste..</t>
        </is>
      </c>
    </row>
    <row r="2104">
      <c r="A2104" t="n">
        <v>2360</v>
      </c>
      <c r="B2104" t="inlineStr">
        <is>
          <t>As a techie I want my smarthome to have the ability to connect and upgrade to the latest standards so that I can keep up with the latest available technology.</t>
        </is>
      </c>
    </row>
    <row r="2105">
      <c r="A2105" t="n">
        <v>2361</v>
      </c>
      <c r="B2105" t="inlineStr">
        <is>
          <t>As a gamer I want my entertainment system to integrate with my Steam accounts so that it can show me suggestions for what I might want to play in the future..</t>
        </is>
      </c>
    </row>
    <row r="2106">
      <c r="A2106" t="n">
        <v>2362</v>
      </c>
      <c r="B2106" t="inlineStr">
        <is>
          <t>As a clumsy person I want my bathroom to have motion sensors so that if I fall in the tub/shower, help can be contacted.</t>
        </is>
      </c>
    </row>
    <row r="2107">
      <c r="A2107" t="n">
        <v>2363</v>
      </c>
      <c r="B2107" t="inlineStr">
        <is>
          <t>As a environmentalist I want the tech in the home to be as recyclable as possible so that when new standards and pieces are available, the old equipment won't be sent to a landfill..</t>
        </is>
      </c>
    </row>
    <row r="2108">
      <c r="A2108" t="n">
        <v>2364</v>
      </c>
      <c r="B2108" t="inlineStr">
        <is>
          <t>As a cat owner I want a self-cleaning litter box that doesn't make noise so that the risk of disease is diminished and my cat won't attack the automated scoop. (Her last automated litter box caused me great pain.) .</t>
        </is>
      </c>
    </row>
    <row r="2109">
      <c r="A2109" t="n">
        <v>2365</v>
      </c>
      <c r="B2109" t="inlineStr">
        <is>
          <t>As a environmentalist I want the tech in the home to be as efficient as possible so that the energy lost due to heat can be minimized..</t>
        </is>
      </c>
    </row>
    <row r="2110">
      <c r="A2110" t="n">
        <v>2366</v>
      </c>
      <c r="B2110" t="inlineStr">
        <is>
          <t>As a clumsy person I want stairs that can detect when someone has fallen down so that help can be contacted..</t>
        </is>
      </c>
    </row>
    <row r="2111">
      <c r="A2111" t="n">
        <v>2367</v>
      </c>
      <c r="B2111" t="inlineStr">
        <is>
          <t>As a traveler I want a home that can hide mail and cycle lights in the home so that my house doesn't appear to be empty, and thus a good target..</t>
        </is>
      </c>
    </row>
    <row r="2112">
      <c r="A2112" t="n">
        <v>2369</v>
      </c>
      <c r="B2112" t="inlineStr">
        <is>
          <t>As a environmentally conscious consumer I want Day and night detecting blinds and curtains so that The sun will be let in during the day and the windows will be unable to be seen through at night.</t>
        </is>
      </c>
    </row>
    <row r="2113">
      <c r="A2113" t="n">
        <v>2370</v>
      </c>
      <c r="B2113" t="inlineStr">
        <is>
          <t>As a renter I want Products that are easily moved to a new residence so that I can benefit from the products while still being a renter..</t>
        </is>
      </c>
    </row>
    <row r="2114">
      <c r="A2114" t="n">
        <v>2371</v>
      </c>
      <c r="B2114" t="inlineStr">
        <is>
          <t>As a pet owner I want an automatic pet door so that my animals can let themselves out easily without letting drafts in when they are not trying to go in and out..</t>
        </is>
      </c>
    </row>
    <row r="2115">
      <c r="A2115" t="n">
        <v>2372</v>
      </c>
      <c r="B2115" t="inlineStr">
        <is>
          <t>As a person who likes privacy I want windows that have a frost option so that I can turn the frosting on or off to suit the situation and still let light in when I don't want others to be able to see inside easily..</t>
        </is>
      </c>
    </row>
    <row r="2116">
      <c r="A2116" t="n">
        <v>2373</v>
      </c>
      <c r="B2116" t="inlineStr">
        <is>
          <t>As a consumer I want automated lighting in closets so that when  I open my closet door, the light automatically comes on so that I can see adequately.</t>
        </is>
      </c>
    </row>
    <row r="2117">
      <c r="A2117" t="n">
        <v>2374</v>
      </c>
      <c r="B2117" t="inlineStr">
        <is>
          <t>As a renter I want Doors and windows that notify me if they are opened while armed so that I can be notified if there is a break-in to my home..</t>
        </is>
      </c>
    </row>
    <row r="2118">
      <c r="A2118" t="n">
        <v>2375</v>
      </c>
      <c r="B2118" t="inlineStr">
        <is>
          <t>As a consumer I want Automatic lighting in each room so that so that I never have to stumble in the dark.</t>
        </is>
      </c>
    </row>
    <row r="2119">
      <c r="A2119" t="n">
        <v>2376</v>
      </c>
      <c r="B2119" t="inlineStr">
        <is>
          <t>As a consumer I want centralized command center with voice activated automation so that I can control my smart home without remotes using only vocal commands.</t>
        </is>
      </c>
    </row>
    <row r="2120">
      <c r="A2120" t="n">
        <v>2377</v>
      </c>
      <c r="B2120" t="inlineStr">
        <is>
          <t>As a consumer I want refrigerator barcode scanner so that I can scan items as they are removed from the fridge and they will be automatically placed onto my shopping list..</t>
        </is>
      </c>
    </row>
    <row r="2121">
      <c r="A2121" t="n">
        <v>2379</v>
      </c>
      <c r="B2121" t="inlineStr">
        <is>
          <t>As a consumer I want digital thermostat control for my shower and bath water so that I can always have water that's the same temperature every single time and can adjust accordingly so no more hot and then cold in and out of the stream until you find the right setting..</t>
        </is>
      </c>
    </row>
    <row r="2122">
      <c r="A2122" t="n">
        <v>2380</v>
      </c>
      <c r="B2122" t="inlineStr">
        <is>
          <t>As a bread eater I want my toaster to send me a text so that i can know when the toast is finished without looking at the toaster.</t>
        </is>
      </c>
    </row>
    <row r="2123">
      <c r="A2123" t="n">
        <v>2381</v>
      </c>
      <c r="B2123" t="inlineStr">
        <is>
          <t>As a pizza consumer I want an arm that automatically pays the pizza driver so that i can eat pizza without talking to the pizza driver.</t>
        </is>
      </c>
    </row>
    <row r="2124">
      <c r="A2124" t="n">
        <v>2382</v>
      </c>
      <c r="B2124" t="inlineStr">
        <is>
          <t>As a home occupant I want carpets that soak up whatever spills on them and sends me a text message so that i don't have to clean my carpets myself.</t>
        </is>
      </c>
    </row>
    <row r="2125">
      <c r="A2125" t="n">
        <v>2383</v>
      </c>
      <c r="B2125" t="inlineStr">
        <is>
          <t>As a cereal eater I want a robot that pours me my captain crunch so that i don't have to pour my own captain crunch.</t>
        </is>
      </c>
    </row>
    <row r="2126">
      <c r="A2126" t="n">
        <v>2384</v>
      </c>
      <c r="B2126" t="inlineStr">
        <is>
          <t>As a person I want a robot that jerks me off so that i don't have to jerk myself off.</t>
        </is>
      </c>
    </row>
    <row r="2127">
      <c r="A2127" t="n">
        <v>2385</v>
      </c>
      <c r="B2127" t="inlineStr">
        <is>
          <t>As a lazy person I want a robot that hold my book or tablet in front of me and turns the pages so that i don't have to pull my hands out into the cold and turn my own pages.</t>
        </is>
      </c>
    </row>
    <row r="2128">
      <c r="A2128" t="n">
        <v>2386</v>
      </c>
      <c r="B2128" t="inlineStr">
        <is>
          <t>As a food eater I want a cabinet that can tell when i'm low on certain food and automatically order some more so that i don't have to go to the trouble of writing a list and ordering more food.</t>
        </is>
      </c>
    </row>
    <row r="2129">
      <c r="A2129" t="n">
        <v>2387</v>
      </c>
      <c r="B2129" t="inlineStr">
        <is>
          <t>As a human I want something plugged into my bloodstream giving me real time information about the content of my blood so that i can know about a very limited number of bad conditions that can be ascertained by a blood monitor in real time.</t>
        </is>
      </c>
    </row>
    <row r="2130">
      <c r="A2130" t="n">
        <v>2388</v>
      </c>
      <c r="B2130" t="inlineStr">
        <is>
          <t>As a cheap guy I want a heater that can tell what room i'm in and heat only that room so that i don't have to pay as much for heating.</t>
        </is>
      </c>
    </row>
    <row r="2131">
      <c r="A2131" t="n">
        <v>2389</v>
      </c>
      <c r="B2131" t="inlineStr">
        <is>
          <t>As a paranoid person I want a robot that automatically shoots a net at any stranger that comes into my house so that i can play around with the net and potentially catch a burglar in the unlikely event.</t>
        </is>
      </c>
    </row>
    <row r="2132">
      <c r="A2132" t="n">
        <v>2390</v>
      </c>
      <c r="B2132" t="inlineStr">
        <is>
          <t>As a home occupant I want my smart home to monitor the hydration level of my soil outside so that the sprinklers will know when to turn on and off to give just the right amount of water for my grass and plants.</t>
        </is>
      </c>
    </row>
    <row r="2133">
      <c r="A2133" t="n">
        <v>2391</v>
      </c>
      <c r="B2133" t="inlineStr">
        <is>
          <t>As a home occupant I want Lights in individual rooms to turn on/off based on the motion of people in the room so that Lights will automatically turn off when nobody is in a room to lower my electricity bill..</t>
        </is>
      </c>
    </row>
    <row r="2134">
      <c r="A2134" t="n">
        <v>2392</v>
      </c>
      <c r="B2134" t="inlineStr">
        <is>
          <t>As a home occupant I want my smart home to monitor all outgoing water levels from the house so that I can be notified if ever there is a leak in the house (hose left on, pipe busted, etc.).</t>
        </is>
      </c>
    </row>
    <row r="2135">
      <c r="A2135" t="n">
        <v>2393</v>
      </c>
      <c r="B2135" t="inlineStr">
        <is>
          <t>As a parent I want my smart home to notify whenever a kitchen appliance is turned on. so that I can know whenever my child is using the oven when I'm not around..</t>
        </is>
      </c>
    </row>
    <row r="2136">
      <c r="A2136" t="n">
        <v>2394</v>
      </c>
      <c r="B2136" t="inlineStr">
        <is>
          <t>As a home occupant I want A speaker system that turns on automatically when I'm in the shower, and turns off when I'm done using it. so that I can listen to my favorite music while showering..</t>
        </is>
      </c>
    </row>
    <row r="2137">
      <c r="A2137" t="n">
        <v>2395</v>
      </c>
      <c r="B2137" t="inlineStr">
        <is>
          <t>As a parent I want my smart home to give me recipe ideas (sent to my smartphone/laptop) for my family based on our overall likes and dislikes. so that I can be inspired to make my family a meal that everyone can enjoy.</t>
        </is>
      </c>
    </row>
    <row r="2138">
      <c r="A2138" t="n">
        <v>2396</v>
      </c>
      <c r="B2138" t="inlineStr">
        <is>
          <t>As a home occupant I want my smart home to monitor the amount of steps I take in the house, as well as other family members. so that I can monitor the amount of calories I burn just from walking inside my own home..</t>
        </is>
      </c>
    </row>
    <row r="2139">
      <c r="A2139" t="n">
        <v>2397</v>
      </c>
      <c r="B2139" t="inlineStr">
        <is>
          <t>As a home occupant I want my smart home to automatically play holiday music when it's a holiday (Easter, Christmas) so that I can get in the mood for the holiday .</t>
        </is>
      </c>
    </row>
    <row r="2140">
      <c r="A2140" t="n">
        <v>2398</v>
      </c>
      <c r="B2140" t="inlineStr">
        <is>
          <t>As a home occupant I want My smart home to monitor the temperature in my garage during the winter. so that I can make sure I can take stuff from the garage into the house (water bottles) that may freeze if it gets too cold in there..</t>
        </is>
      </c>
    </row>
    <row r="2141">
      <c r="A2141" t="n">
        <v>2399</v>
      </c>
      <c r="B2141" t="inlineStr">
        <is>
          <t>As a home occupant I want my smart home to alert me where my pet is inside the home if it decides to hide so that I can know if my animal is in the house (and where), or outside..</t>
        </is>
      </c>
    </row>
    <row r="2142">
      <c r="A2142" t="n">
        <v>2400</v>
      </c>
      <c r="B2142" t="inlineStr">
        <is>
          <t>As a pet owner I want my smart home to automatically pick up my cat's droppings so that the house will not smell and I won't have to do it.</t>
        </is>
      </c>
    </row>
    <row r="2143">
      <c r="A2143" t="n">
        <v>2401</v>
      </c>
      <c r="B2143" t="inlineStr">
        <is>
          <t>As a home owner I want my smart home to use fingerprint technology as a locking mechanism so that my family will be safer.</t>
        </is>
      </c>
    </row>
    <row r="2144">
      <c r="A2144" t="n">
        <v>2402</v>
      </c>
      <c r="B2144" t="inlineStr">
        <is>
          <t>As a christian. I want a Bible that is uploaded into my dining room table. so that I can read without using a book and it can be digital..</t>
        </is>
      </c>
    </row>
    <row r="2145">
      <c r="A2145" t="n">
        <v>2403</v>
      </c>
      <c r="B2145" t="inlineStr">
        <is>
          <t>As a home owner I want my smart home to respond to a certain decibel level of the word "Help!" to alert authorities so that if alone and in an emergency, authorities can be called with minimal effort.</t>
        </is>
      </c>
    </row>
    <row r="2146">
      <c r="A2146" t="n">
        <v>2404</v>
      </c>
      <c r="B2146" t="inlineStr">
        <is>
          <t>As a home occupant I want my thermostat to auto adjust when some leaves the home or comes home so that electric bill can be lower .</t>
        </is>
      </c>
    </row>
    <row r="2147">
      <c r="A2147" t="n">
        <v>2405</v>
      </c>
      <c r="B2147" t="inlineStr">
        <is>
          <t>As a parent I want my smart home feature to monitor my infants breathing at a very young age so that it would give me peace of mind with the SIDS epedemic that may occur during the early months of life.</t>
        </is>
      </c>
    </row>
    <row r="2148">
      <c r="A2148" t="n">
        <v>2406</v>
      </c>
      <c r="B2148" t="inlineStr">
        <is>
          <t>As a husband I want an information alarm connected to smartphone when my wife is within 5 miles. so that I know when she is going to be home, or if she's walking around the neighborhood..</t>
        </is>
      </c>
    </row>
    <row r="2149">
      <c r="A2149" t="n">
        <v>2407</v>
      </c>
      <c r="B2149" t="inlineStr">
        <is>
          <t>As a home owner I want the hot water heater to turn on  so that it does not waste energy when no one is home..</t>
        </is>
      </c>
    </row>
    <row r="2150">
      <c r="A2150" t="n">
        <v>2408</v>
      </c>
      <c r="B2150" t="inlineStr">
        <is>
          <t>As a person I want a reminder of when my favorite TV show is on. so that I can watch the show that I desire..</t>
        </is>
      </c>
    </row>
    <row r="2151">
      <c r="A2151" t="n">
        <v>2409</v>
      </c>
      <c r="B2151" t="inlineStr">
        <is>
          <t>As a home occupant I want my thermostat to auto adjust to real time outdoor temperature so that energy will be used efficiently based on weather .</t>
        </is>
      </c>
    </row>
    <row r="2152">
      <c r="A2152" t="n">
        <v>2410</v>
      </c>
      <c r="B2152" t="inlineStr">
        <is>
          <t>As a parent I want my smart home to visual show me the wareabouts of my children if they are in another room playing so that I would be able to cook or clean in another area of the house, while they are playing in another section..</t>
        </is>
      </c>
    </row>
    <row r="2153">
      <c r="A2153" t="n">
        <v>2411</v>
      </c>
      <c r="B2153" t="inlineStr">
        <is>
          <t>As a cook I want an oven that assesses the meat for cooking. so that It is cooked to perfection the way I like it..</t>
        </is>
      </c>
    </row>
    <row r="2154">
      <c r="A2154" t="n">
        <v>2412</v>
      </c>
      <c r="B2154" t="inlineStr">
        <is>
          <t>As a computer user I want my computer to have a screen built into the wall and respond to voice commands, if desired so that I can use the computer more easily.</t>
        </is>
      </c>
    </row>
    <row r="2155">
      <c r="A2155" t="n">
        <v>2413</v>
      </c>
      <c r="B2155" t="inlineStr">
        <is>
          <t>As a home occupant I want televisions to be linked between rooms so when I change to a different room it turns on with the same program/movie at the same part so that if i want to lay down in bed i can just go to bed and watch the same movie i was watching in the living room without any hassle.</t>
        </is>
      </c>
    </row>
    <row r="2156">
      <c r="A2156" t="n">
        <v>2414</v>
      </c>
      <c r="B2156" t="inlineStr">
        <is>
          <t>As a home owner I want my alarm clock to sync with my coffee maker  so that I can wake up to hot coffee .</t>
        </is>
      </c>
    </row>
    <row r="2157">
      <c r="A2157" t="n">
        <v>2415</v>
      </c>
      <c r="B2157" t="inlineStr">
        <is>
          <t>As a home owner I want to know how much humidity is in the house. so that I can turn up the water when it starts to get too dry..</t>
        </is>
      </c>
    </row>
    <row r="2158">
      <c r="A2158" t="n">
        <v>2416</v>
      </c>
      <c r="B2158" t="inlineStr">
        <is>
          <t>As a home occupant I want my smart house to adjust the temperature of which room I am occupying and decrease the temperature of other rooms not in use so that I would conserve energy to only rooms in use .</t>
        </is>
      </c>
    </row>
    <row r="2159">
      <c r="A2159" t="n">
        <v>2417</v>
      </c>
      <c r="B2159" t="inlineStr">
        <is>
          <t>As a responsible pet owner I want to be notified how much water my cats drink, so that I know they are hydrated..</t>
        </is>
      </c>
    </row>
    <row r="2160">
      <c r="A2160" t="n">
        <v>2418</v>
      </c>
      <c r="B2160" t="inlineStr">
        <is>
          <t>As a home owner I want My smart phone to alert me if I leave the coffee pot on. so that I can avoid a dangerous situation such as a fire..</t>
        </is>
      </c>
    </row>
    <row r="2161">
      <c r="A2161" t="n">
        <v>2419</v>
      </c>
      <c r="B2161" t="inlineStr">
        <is>
          <t>As a athlete I want a motivator to alert me when I did not go to the gym. so that I can go to the gym and continue my fitness goals..</t>
        </is>
      </c>
    </row>
    <row r="2162">
      <c r="A2162" t="n">
        <v>2420</v>
      </c>
      <c r="B2162" t="inlineStr">
        <is>
          <t>As a pet owner I want an alert when my cat shits in its litter box so that I can remove the smelly cat turds before they stink up my house .</t>
        </is>
      </c>
    </row>
    <row r="2163">
      <c r="A2163" t="n">
        <v>2421</v>
      </c>
      <c r="B2163" t="inlineStr">
        <is>
          <t>As a home owner I want a home that knows when the floor is dirty, and sends appropriate robots to clean it so that I don't have to clean the house all the time.</t>
        </is>
      </c>
    </row>
    <row r="2164">
      <c r="A2164" t="n">
        <v>2422</v>
      </c>
      <c r="B2164" t="inlineStr">
        <is>
          <t>As a home occupant I want a cross platform app that acts as a remote control for all lighting and the thermostat so that i can turn on lights in other rooms before i enter them or change the temperature in certain rooms before i occupy them.</t>
        </is>
      </c>
    </row>
    <row r="2165">
      <c r="A2165" t="n">
        <v>2423</v>
      </c>
      <c r="B2165" t="inlineStr">
        <is>
          <t>As a home owner I want my smart home to update me on traffic so that I can avoid traffic and excessive fuel consumption..</t>
        </is>
      </c>
    </row>
    <row r="2166">
      <c r="A2166" t="n">
        <v>2424</v>
      </c>
      <c r="B2166" t="inlineStr">
        <is>
          <t>As a parent I want an indicator when my child is too close to the stairs. so that the child doesn't hurt them self..</t>
        </is>
      </c>
    </row>
    <row r="2167">
      <c r="A2167" t="n">
        <v>2425</v>
      </c>
      <c r="B2167" t="inlineStr">
        <is>
          <t>As a home occupant I want my vacuum to auto run when the house is not occupied so that pet messes and dirt will always be cleaned up.</t>
        </is>
      </c>
    </row>
    <row r="2168">
      <c r="A2168" t="n">
        <v>2426</v>
      </c>
      <c r="B2168" t="inlineStr">
        <is>
          <t>As a fat person I want the refrigerator to make judgemental comments when I open it to eat snacks so that I can be shamed by my appliances into not snacking too much .</t>
        </is>
      </c>
    </row>
    <row r="2169">
      <c r="A2169" t="n">
        <v>2427</v>
      </c>
      <c r="B2169" t="inlineStr">
        <is>
          <t>As a husband I want an indicator of my wife's general mood. so that I know how to act when she is around..</t>
        </is>
      </c>
    </row>
    <row r="2170">
      <c r="A2170" t="n">
        <v>2428</v>
      </c>
      <c r="B2170" t="inlineStr">
        <is>
          <t>As a home owner I want my curtains to adjust opacity depending on the level of light coming in so that so that the house is always lit to a certain level and maintain energy usage.</t>
        </is>
      </c>
    </row>
    <row r="2171">
      <c r="A2171" t="n">
        <v>2429</v>
      </c>
      <c r="B2171" t="inlineStr">
        <is>
          <t>As a grand parent I want An alarm to go off if anyone tries to open any door. so that A child does not exit unattended, and get lost or hurt..</t>
        </is>
      </c>
    </row>
    <row r="2172">
      <c r="A2172" t="n">
        <v>2430</v>
      </c>
      <c r="B2172" t="inlineStr">
        <is>
          <t>As a pet owner I want an indicator of when the dog goes in and out the door so that I can always track when my dog goes inside and out..</t>
        </is>
      </c>
    </row>
    <row r="2173">
      <c r="A2173" t="n">
        <v>2431</v>
      </c>
      <c r="B2173" t="inlineStr">
        <is>
          <t>As a lazy person I want my bed to slowly tilt so that I roll out of it in the morning  so that I don't stay in bed too long.</t>
        </is>
      </c>
    </row>
    <row r="2174">
      <c r="A2174" t="n">
        <v>2432</v>
      </c>
      <c r="B2174" t="inlineStr">
        <is>
          <t>As a home occupant I want doors to be auto locked when entering or leaving the home so that i am protected from a robbery or forgetting to lock the doors.</t>
        </is>
      </c>
    </row>
    <row r="2175">
      <c r="A2175" t="n">
        <v>2433</v>
      </c>
      <c r="B2175" t="inlineStr">
        <is>
          <t>As a home occupant I want my television system to recommend movie and teach shows off of the selective user at the time and begin playing such film or show so that I would be able to dive into watching movies, rather than shift through selections myself.</t>
        </is>
      </c>
    </row>
    <row r="2176">
      <c r="A2176" t="n">
        <v>2434</v>
      </c>
      <c r="B2176" t="inlineStr">
        <is>
          <t>As a home owner I want to be able to shut down my entire houses electricty so that when I go on vacation or away I don't have to worry about it..</t>
        </is>
      </c>
    </row>
    <row r="2177">
      <c r="A2177" t="n">
        <v>2435</v>
      </c>
      <c r="B2177" t="inlineStr">
        <is>
          <t>As a paranoid person I want a doorbell with facial recognition  so that I can creep on the people coming to my house/tell who is outside .</t>
        </is>
      </c>
    </row>
    <row r="2178">
      <c r="A2178" t="n">
        <v>2436</v>
      </c>
      <c r="B2178" t="inlineStr">
        <is>
          <t>As a home occupant I want my tv to auto shut off when there is no one sitting in front of it so that i save energy.</t>
        </is>
      </c>
    </row>
    <row r="2179">
      <c r="A2179" t="n">
        <v>2437</v>
      </c>
      <c r="B2179" t="inlineStr">
        <is>
          <t>As a home occupant I want an app to unlock doors so I can let guests in even if I'm busy elsewhere  so that so if I'm busy people don't have to wait for me i.e in the shower.</t>
        </is>
      </c>
    </row>
    <row r="2180">
      <c r="A2180" t="n">
        <v>2438</v>
      </c>
      <c r="B2180" t="inlineStr">
        <is>
          <t>As a home occupant I want my smart home to automatically warm the floors in my home depending upon if the room is in use so that I would be able to walk around my home without wearing anything on my feet.</t>
        </is>
      </c>
    </row>
    <row r="2181">
      <c r="A2181" t="n">
        <v>2439</v>
      </c>
      <c r="B2181" t="inlineStr">
        <is>
          <t>As a parent I want my smart home to automatically put up barriers to certain rooms so that my child does not wander into places they shouldn't.</t>
        </is>
      </c>
    </row>
    <row r="2182">
      <c r="A2182" t="n">
        <v>2440</v>
      </c>
      <c r="B2182" t="inlineStr">
        <is>
          <t>As a home owner I want my smart house to alert me about the septic tank so that costly repairs can be avoided..</t>
        </is>
      </c>
    </row>
    <row r="2183">
      <c r="A2183" t="n">
        <v>2441</v>
      </c>
      <c r="B2183" t="inlineStr">
        <is>
          <t>As a weirdo I want windows that can project images that looks like there are ghosts in my house so that I can scare away neighborhood children .</t>
        </is>
      </c>
    </row>
    <row r="2184">
      <c r="A2184" t="n">
        <v>2442</v>
      </c>
      <c r="B2184" t="inlineStr">
        <is>
          <t>As a home owner I want my smartphone to start the oven to cook dinner. so that When I get home, it will be preheated..</t>
        </is>
      </c>
    </row>
    <row r="2185">
      <c r="A2185" t="n">
        <v>2443</v>
      </c>
      <c r="B2185" t="inlineStr">
        <is>
          <t>As a home occupant I want my smart home to automatically turn off appliances like heating ovens and toasters if no one is home. so that I don't have to worry about it..</t>
        </is>
      </c>
    </row>
    <row r="2186">
      <c r="A2186" t="n">
        <v>2444</v>
      </c>
      <c r="B2186" t="inlineStr">
        <is>
          <t>As a home owner I want a bathroom mirror that begins an anti-fog procedure during and after showers so that I can shave more easily.</t>
        </is>
      </c>
    </row>
    <row r="2187">
      <c r="A2187" t="n">
        <v>2445</v>
      </c>
      <c r="B2187" t="inlineStr">
        <is>
          <t>As a gardener I want a pop up scarecrow/airhorn system so that I can scare away neighbors and unwanted animals.</t>
        </is>
      </c>
    </row>
    <row r="2188">
      <c r="A2188" t="n">
        <v>2446</v>
      </c>
      <c r="B2188" t="inlineStr">
        <is>
          <t>As a home occupant I want my washing to run only when there is a full load of laundry so that i will conserve energy and water by only running when necessary .</t>
        </is>
      </c>
    </row>
    <row r="2189">
      <c r="A2189" t="n">
        <v>2447</v>
      </c>
      <c r="B2189" t="inlineStr">
        <is>
          <t>As a home owner I want my smart home to alert me if the roof has been comprimised so that further costly repairs can be avoided..</t>
        </is>
      </c>
    </row>
    <row r="2190">
      <c r="A2190" t="n">
        <v>2448</v>
      </c>
      <c r="B2190" t="inlineStr">
        <is>
          <t>As a home occupant I want laser tripwires installed that are app controlled in geometric patterns that set off alarms so that burglers can't burgle.</t>
        </is>
      </c>
    </row>
    <row r="2191">
      <c r="A2191" t="n">
        <v>2449</v>
      </c>
      <c r="B2191" t="inlineStr">
        <is>
          <t>As a home occupant I want my smart phone to link to the surround sound to indicate my schedule and remind of things I might have planned for the day so that I can stay on time with my activities throughout the day,.</t>
        </is>
      </c>
    </row>
    <row r="2192">
      <c r="A2192" t="n">
        <v>2450</v>
      </c>
      <c r="B2192" t="inlineStr">
        <is>
          <t>As a home owner I want a shower that will go to my preferred temperature with a button press so that I can shower more easily.</t>
        </is>
      </c>
    </row>
    <row r="2193">
      <c r="A2193" t="n">
        <v>2451</v>
      </c>
      <c r="B2193" t="inlineStr">
        <is>
          <t>As a dirty person I want an automatic bath which fills to my desired temperature and depth so that I can stink less.</t>
        </is>
      </c>
    </row>
    <row r="2194">
      <c r="A2194" t="n">
        <v>2452</v>
      </c>
      <c r="B2194" t="inlineStr">
        <is>
          <t>As a home owner I want my smart home to alert me to any pest intrusion so that I can have them removed or abated..</t>
        </is>
      </c>
    </row>
    <row r="2195">
      <c r="A2195" t="n">
        <v>2453</v>
      </c>
      <c r="B2195" t="inlineStr">
        <is>
          <t>As a home owner I want a fish tank that will automatically feed fish so that my fish will be fed without having to think about it.</t>
        </is>
      </c>
    </row>
    <row r="2196">
      <c r="A2196" t="n">
        <v>2454</v>
      </c>
      <c r="B2196" t="inlineStr">
        <is>
          <t>As a parent I want smart electric sockets that only work if an actual plug is inserted so that my kid can't stick metal crap in sockets and kill himself.</t>
        </is>
      </c>
    </row>
    <row r="2197">
      <c r="A2197" t="n">
        <v>2455</v>
      </c>
      <c r="B2197" t="inlineStr">
        <is>
          <t>As a home occupant I want an beep alert when someone enters my driveway so that i always know what is happening outside my house.</t>
        </is>
      </c>
    </row>
    <row r="2198">
      <c r="A2198" t="n">
        <v>2456</v>
      </c>
      <c r="B2198" t="inlineStr">
        <is>
          <t>As a hippie I want a tiny toy train that gathers up my recyclables and sorts them for me, like a coin sorting machine so that I can recycle easily .</t>
        </is>
      </c>
    </row>
    <row r="2199">
      <c r="A2199" t="n">
        <v>2457</v>
      </c>
      <c r="B2199" t="inlineStr">
        <is>
          <t>As a home occupant I want my smart fridge to connect with my phone to indicate whether I am running low on neccessary food suuplies so that I would always be prepared when I go to the grocery store.</t>
        </is>
      </c>
    </row>
    <row r="2200">
      <c r="A2200" t="n">
        <v>2458</v>
      </c>
      <c r="B2200" t="inlineStr">
        <is>
          <t>As a home owner I want my smart house to alert me about stppages in gutters and downspouts so that flooding and water damage can be avoided..</t>
        </is>
      </c>
    </row>
    <row r="2201">
      <c r="A2201" t="n">
        <v>2459</v>
      </c>
      <c r="B2201" t="inlineStr">
        <is>
          <t>As a home owner I want My smart home to prevent long showers. so that my water bill will stay at a minimum.</t>
        </is>
      </c>
    </row>
    <row r="2202">
      <c r="A2202" t="n">
        <v>2460</v>
      </c>
      <c r="B2202" t="inlineStr">
        <is>
          <t>As a person that loves to be fit I want my smart home to record my weight, body fat, and my daily calorie intake, so that I can keep an accurate record..</t>
        </is>
      </c>
    </row>
    <row r="2203">
      <c r="A2203" t="n">
        <v>2461</v>
      </c>
      <c r="B2203" t="inlineStr">
        <is>
          <t>As a home occupant I want If any letter dorped in my letter box. so that I can know immidietly..</t>
        </is>
      </c>
    </row>
    <row r="2204">
      <c r="A2204" t="n">
        <v>2462</v>
      </c>
      <c r="B2204" t="inlineStr">
        <is>
          <t>As a cat owner I want a series of well placed airhorns (but a different frequency than the litter box airhorn and the garden airhorn)  so that I can spook the cat off of unwanted surfaces .</t>
        </is>
      </c>
    </row>
    <row r="2205">
      <c r="A2205" t="n">
        <v>2463</v>
      </c>
      <c r="B2205" t="inlineStr">
        <is>
          <t>As a home owner I want my smart home to alert me when my wife is headed home so that I can have dinner ready for her!.</t>
        </is>
      </c>
    </row>
    <row r="2206">
      <c r="A2206" t="n">
        <v>2464</v>
      </c>
      <c r="B2206" t="inlineStr">
        <is>
          <t>As a parent I want app controlled motion detectors so i know if my child is going someplace he isn't supposed to be so that when i'm busy my kid can't wander off and get hurt.</t>
        </is>
      </c>
    </row>
    <row r="2207">
      <c r="A2207" t="n">
        <v>2465</v>
      </c>
      <c r="B2207" t="inlineStr">
        <is>
          <t>As a home occupant I want my curtains to auto open and close at certain times so that i can get the proper lighting and the house will be safer at night because no one can peer in.</t>
        </is>
      </c>
    </row>
    <row r="2208">
      <c r="A2208" t="n">
        <v>2466</v>
      </c>
      <c r="B2208" t="inlineStr">
        <is>
          <t>As a home occupant I want my smart home to play my playlists or audiobooks no matter where I am in the house, so that I can enjoy them wherever I might be..</t>
        </is>
      </c>
    </row>
    <row r="2209">
      <c r="A2209" t="n">
        <v>2467</v>
      </c>
      <c r="B2209" t="inlineStr">
        <is>
          <t>As a home owner I want my smart home to alert me when my mail is delivered so that I can get it as soon as possible when I am waiting for certain mail.</t>
        </is>
      </c>
    </row>
    <row r="2210">
      <c r="A2210" t="n">
        <v>2468</v>
      </c>
      <c r="B2210" t="inlineStr">
        <is>
          <t>As a home occupant I want if the weather is near to raining so that I can close the window..</t>
        </is>
      </c>
    </row>
    <row r="2211">
      <c r="A2211" t="n">
        <v>2469</v>
      </c>
      <c r="B2211" t="inlineStr">
        <is>
          <t>As a home occupant I want smart ovens and toasters that can maintain the temperature of food, even when cold so that you can put breakfast in the oven/toaster overnight and have it cook on a timer or via app so that i can be lazy and cook from bed.</t>
        </is>
      </c>
    </row>
    <row r="2212">
      <c r="A2212" t="n">
        <v>2470</v>
      </c>
      <c r="B2212" t="inlineStr">
        <is>
          <t>As a home occupant I want toilets to auto flush when necessary to conserve water  so that i do not waste water.</t>
        </is>
      </c>
    </row>
    <row r="2213">
      <c r="A2213" t="n">
        <v>2471</v>
      </c>
      <c r="B2213" t="inlineStr">
        <is>
          <t>As a home occupant I want the shower temperature to be adjust based off the users pervious settings so that it would cut back on the wait time for the bathroom, since the temperature is already preset for the users perferences. .</t>
        </is>
      </c>
    </row>
    <row r="2214">
      <c r="A2214" t="n">
        <v>2472</v>
      </c>
      <c r="B2214" t="inlineStr">
        <is>
          <t>As a home owner I want all electronics attached to circuit breaker, and the home to turn off the breaker after a long period of inactivity so that I can save electricity.</t>
        </is>
      </c>
    </row>
    <row r="2215">
      <c r="A2215" t="n">
        <v>2473</v>
      </c>
      <c r="B2215" t="inlineStr">
        <is>
          <t>As a home occupant I want the litter box to be auto cleaned when dirty so that the house stays sanitary and the air is always clean.</t>
        </is>
      </c>
    </row>
    <row r="2216">
      <c r="A2216" t="n">
        <v>2474</v>
      </c>
      <c r="B2216" t="inlineStr">
        <is>
          <t>As a home occupant I want the shower to have a preset music and radio system  so that I can listen to the news while preparing for work or school.</t>
        </is>
      </c>
    </row>
    <row r="2217">
      <c r="A2217" t="n">
        <v>2475</v>
      </c>
      <c r="B2217" t="inlineStr">
        <is>
          <t>As a daughter of a senior citizen I want spoken reminders to take medicine at the right times so that doses aren't skipped or doubled.</t>
        </is>
      </c>
    </row>
    <row r="2218">
      <c r="A2218" t="n">
        <v>2476</v>
      </c>
      <c r="B2218" t="inlineStr">
        <is>
          <t>As a environmentally conscious home occupant, I want my smart home to dim or turn off lights if no one is home,  so that I know I'm not wasting energy..</t>
        </is>
      </c>
    </row>
    <row r="2219">
      <c r="A2219" t="n">
        <v>2477</v>
      </c>
      <c r="B2219" t="inlineStr">
        <is>
          <t>As a home owner I want my smart home to notify me when there is a faulty outlet or wiring. so that I can have it fixed and prevent a hazard such as a fire; and the house will not burn down..</t>
        </is>
      </c>
    </row>
    <row r="2220">
      <c r="A2220" t="n">
        <v>2478</v>
      </c>
      <c r="B2220" t="inlineStr">
        <is>
          <t>As a home owner I want my smart home to update me on food inventory while I am shopping so that I buy what is needed and avoid over buying..</t>
        </is>
      </c>
    </row>
    <row r="2221">
      <c r="A2221" t="n">
        <v>2479</v>
      </c>
      <c r="B2221" t="inlineStr">
        <is>
          <t>As a home occupant I want app/alarm controlled retractable stairs so that the second floor can be secure in case of zombie attacks or a swat raid.</t>
        </is>
      </c>
    </row>
    <row r="2222">
      <c r="A2222" t="n">
        <v>2480</v>
      </c>
      <c r="B2222" t="inlineStr">
        <is>
          <t>As a home owner I want my smart home to notify me when items have expired so that I can dispose of properly..</t>
        </is>
      </c>
    </row>
    <row r="2223">
      <c r="A2223" t="n">
        <v>2481</v>
      </c>
      <c r="B2223" t="inlineStr">
        <is>
          <t>As a parent I want smart toilets that automatically urine test  so that i know when my kid is smoking doobies after school.</t>
        </is>
      </c>
    </row>
    <row r="2224">
      <c r="A2224" t="n">
        <v>2482</v>
      </c>
      <c r="B2224" t="inlineStr">
        <is>
          <t>As a pet owner I want my smart home to automatically give my cats kibble if I don't get home by a certain time, so that I know my cats don't go hungry..</t>
        </is>
      </c>
    </row>
    <row r="2225">
      <c r="A2225" t="n">
        <v>2483</v>
      </c>
      <c r="B2225" t="inlineStr">
        <is>
          <t>As a cook I want my refrigerator to recognize, inventory, and display everything inside so that I won't waste energy and time staring into it.</t>
        </is>
      </c>
    </row>
    <row r="2226">
      <c r="A2226" t="n">
        <v>2484</v>
      </c>
      <c r="B2226" t="inlineStr">
        <is>
          <t>As a parent I want my entertainment system to alert me off the movies and tv shows my children are watch  so that I can monitior the programs that my children are viewing when I am not in the room with them.</t>
        </is>
      </c>
    </row>
    <row r="2227">
      <c r="A2227" t="n">
        <v>2485</v>
      </c>
      <c r="B2227" t="inlineStr">
        <is>
          <t>As a home owner I want my smart home to alert me when someone is using a computer so that I can monitor what the grand kids are viewing..</t>
        </is>
      </c>
    </row>
    <row r="2228">
      <c r="A2228" t="n">
        <v>2486</v>
      </c>
      <c r="B2228" t="inlineStr">
        <is>
          <t>As a home owner I want my smart home to open dog doors at set intervals so that my dogs can go outside when I am not home..</t>
        </is>
      </c>
    </row>
    <row r="2229">
      <c r="A2229" t="n">
        <v>2487</v>
      </c>
      <c r="B2229" t="inlineStr">
        <is>
          <t>As a parent I want monitor my childrens TV so that so I can prevent them to watch bad channels.</t>
        </is>
      </c>
    </row>
    <row r="2230">
      <c r="A2230" t="n">
        <v>2488</v>
      </c>
      <c r="B2230" t="inlineStr">
        <is>
          <t>As a home owner and father I want A light that will go off in my room at night when there are noises in the house so that I can wear my headphones when watching movies on my iPad late at night and can also be aware of one of my kids are up or there are any disturbances in my home..</t>
        </is>
      </c>
    </row>
    <row r="2231">
      <c r="A2231" t="n">
        <v>2489</v>
      </c>
      <c r="B2231" t="inlineStr">
        <is>
          <t>As a home owner I want a zapper that automatically zaps insects that may come inside so that I can avoid an infestation.</t>
        </is>
      </c>
    </row>
    <row r="2232">
      <c r="A2232" t="n">
        <v>2490</v>
      </c>
      <c r="B2232" t="inlineStr">
        <is>
          <t>As a home occupant I want a smart closet that keeps track of what i wear and chooses outfits for me  so that i'm always looking sharp and don't wear the same outfits all the time.</t>
        </is>
      </c>
    </row>
    <row r="2233">
      <c r="A2233" t="n">
        <v>2491</v>
      </c>
      <c r="B2233" t="inlineStr">
        <is>
          <t>As a home occupant I want my smart home to always be connected to the internet, so that I can control certain home functions like the lights or thermostat whether I am home or away..</t>
        </is>
      </c>
    </row>
    <row r="2234">
      <c r="A2234" t="n">
        <v>2492</v>
      </c>
      <c r="B2234" t="inlineStr">
        <is>
          <t>As a parent I want monitor if there any insect in the room so that to prevent insect bite..</t>
        </is>
      </c>
    </row>
    <row r="2235">
      <c r="A2235" t="n">
        <v>2493</v>
      </c>
      <c r="B2235" t="inlineStr">
        <is>
          <t>As a home owner I want a voice controlled door and window lock so that I don't miss any.</t>
        </is>
      </c>
    </row>
    <row r="2236">
      <c r="A2236" t="n">
        <v>2494</v>
      </c>
      <c r="B2236" t="inlineStr">
        <is>
          <t>As a grandparent I want my smart home to alert me when some one is watching inappropriate channels on TV so that I can control what the kids watch..</t>
        </is>
      </c>
    </row>
    <row r="2237">
      <c r="A2237" t="n">
        <v>2495</v>
      </c>
      <c r="B2237" t="inlineStr">
        <is>
          <t>As a pet owner I want my smart home to give me access to video from within my home, so that I can keep an eye on things if I'm away for a long time..</t>
        </is>
      </c>
    </row>
    <row r="2238">
      <c r="A2238" t="n">
        <v>2496</v>
      </c>
      <c r="B2238" t="inlineStr">
        <is>
          <t>As a movie buff I want something to list all new available movies within all of my available platforms in a single location so that I know when something new is available.</t>
        </is>
      </c>
    </row>
    <row r="2239">
      <c r="A2239" t="n">
        <v>2497</v>
      </c>
      <c r="B2239" t="inlineStr">
        <is>
          <t>As a music lover I want voice controlled speakers and stations so that I don't have to search for remotes.</t>
        </is>
      </c>
    </row>
    <row r="2240">
      <c r="A2240" t="n">
        <v>2498</v>
      </c>
      <c r="B2240" t="inlineStr">
        <is>
          <t>As a pet owner I want my home to interact with my pets when I am away, by dispensing treats, toys, turning on water, etc so that my pets are happy and occupied.</t>
        </is>
      </c>
    </row>
    <row r="2241">
      <c r="A2241" t="n">
        <v>2499</v>
      </c>
      <c r="B2241" t="inlineStr">
        <is>
          <t>As a home owner I want monitor external wall, if there any mud so that I can repair it on time.</t>
        </is>
      </c>
    </row>
    <row r="2242">
      <c r="A2242" t="n">
        <v>2500</v>
      </c>
      <c r="B2242" t="inlineStr">
        <is>
          <t>As a home occupant I want my smart home to send me texts or email updates on energy use, so that I know where I'm using the most energy..</t>
        </is>
      </c>
    </row>
    <row r="2243">
      <c r="A2243" t="n">
        <v>2501</v>
      </c>
      <c r="B2243" t="inlineStr">
        <is>
          <t>As a cook I want the stove and oven to auto set to the correct temperature for the dish I'm cooking so that It cooks appropriately.</t>
        </is>
      </c>
    </row>
    <row r="2244">
      <c r="A2244" t="n">
        <v>2502</v>
      </c>
      <c r="B2244" t="inlineStr">
        <is>
          <t>As a exercise enthusiast I want A weight scale to store and analyze my weight trends so that I know where I stand.</t>
        </is>
      </c>
    </row>
    <row r="2245">
      <c r="A2245" t="n">
        <v>2503</v>
      </c>
      <c r="B2245" t="inlineStr">
        <is>
          <t>As a home owner I want my smart home to remind me when my bills are due. so that I do not risk having my utilities disconnected due to late or non-payment.</t>
        </is>
      </c>
    </row>
    <row r="2246">
      <c r="A2246" t="n">
        <v>2504</v>
      </c>
      <c r="B2246" t="inlineStr">
        <is>
          <t>As a home occupant I want my smart home to notify me immediately if there are weather alters in my area, so that I know if something bad is happening..</t>
        </is>
      </c>
    </row>
    <row r="2247">
      <c r="A2247" t="n">
        <v>2505</v>
      </c>
      <c r="B2247" t="inlineStr">
        <is>
          <t>As a coffee lover I want a coffee pot that can be controlled via mobile app so that I don't have to manually set the pot.</t>
        </is>
      </c>
    </row>
    <row r="2248">
      <c r="A2248" t="n">
        <v>2506</v>
      </c>
      <c r="B2248" t="inlineStr">
        <is>
          <t>As a cook I want I want my smart home to project voice activated recipes and information from the internet onto the wall so that I don't have to touch anything with dirty hands if I need to know something unexpected.</t>
        </is>
      </c>
    </row>
    <row r="2249">
      <c r="A2249" t="n">
        <v>2507</v>
      </c>
      <c r="B2249" t="inlineStr">
        <is>
          <t>As a money conscious person I want To be aware of my utility usage and estimated cost at any time so that I can not be surprised when the bills arrive and can take steps to cut back when we've used excess..</t>
        </is>
      </c>
    </row>
    <row r="2250">
      <c r="A2250" t="n">
        <v>2508</v>
      </c>
      <c r="B2250" t="inlineStr">
        <is>
          <t>As a woman who wears makeup I want voice activated light settings with different shades of lighting so that I can see myself in "natural light" and other light while still in my bathroom.</t>
        </is>
      </c>
    </row>
    <row r="2251">
      <c r="A2251" t="n">
        <v>2509</v>
      </c>
      <c r="B2251" t="inlineStr">
        <is>
          <t>As a person who hates stepping out the shower in the cold air I want a heater that will heat the bathroom to a certain degree while the shower is on so that I'm comfortable after my showers.</t>
        </is>
      </c>
    </row>
    <row r="2252">
      <c r="A2252" t="n">
        <v>2510</v>
      </c>
      <c r="B2252" t="inlineStr">
        <is>
          <t>As a home owner I want my smart home to let me know when the air inside becomes contaminated with uncleanliness or germs that can spread so that I can use an air cleaning system to clean the air.</t>
        </is>
      </c>
    </row>
    <row r="2253">
      <c r="A2253" t="n">
        <v>2511</v>
      </c>
      <c r="B2253" t="inlineStr">
        <is>
          <t>As a pet owner I want a pet dish that will auto fill with water and food so that I don't forget to feed my cats.</t>
        </is>
      </c>
    </row>
    <row r="2254">
      <c r="A2254" t="n">
        <v>2512</v>
      </c>
      <c r="B2254" t="inlineStr">
        <is>
          <t>As a gardener I want moisture detecting sensors in the ground so that the sprinklers can automatically water as necessary.</t>
        </is>
      </c>
    </row>
    <row r="2255">
      <c r="A2255" t="n">
        <v>2513</v>
      </c>
      <c r="B2255" t="inlineStr">
        <is>
          <t>As a parent I want the pool to alarm when anyone gets in without using the code so that my toddlers won't drown.</t>
        </is>
      </c>
    </row>
    <row r="2256">
      <c r="A2256" t="n">
        <v>2514</v>
      </c>
      <c r="B2256" t="inlineStr">
        <is>
          <t>As a parent I want the door to alarm when anyone under a certain height opens it so that my toddlers won't escape.</t>
        </is>
      </c>
    </row>
    <row r="2257">
      <c r="A2257" t="n">
        <v>2515</v>
      </c>
      <c r="B2257" t="inlineStr">
        <is>
          <t>As a home occupant I want monitor room lights. so that to mentain room lights as per requirment all time.</t>
        </is>
      </c>
    </row>
    <row r="2258">
      <c r="A2258" t="n">
        <v>2516</v>
      </c>
      <c r="B2258" t="inlineStr">
        <is>
          <t>As a pet owner I want an alarm when the dog is chewing something I didn't give him so that so he can't chew everything in site.</t>
        </is>
      </c>
    </row>
    <row r="2259">
      <c r="A2259" t="n">
        <v>2517</v>
      </c>
      <c r="B2259" t="inlineStr">
        <is>
          <t>As a pet owner I want my smart home to automatically raise windows in the event of a fire  so that I and my pets can escape (especially so they can escape when I am not home).</t>
        </is>
      </c>
    </row>
    <row r="2260">
      <c r="A2260" t="n">
        <v>2518</v>
      </c>
      <c r="B2260" t="inlineStr">
        <is>
          <t>As a pet owner I want a camera linked to my smart phone with video of the dogs so that i can supervise them when I'm not in the same room.</t>
        </is>
      </c>
    </row>
    <row r="2261">
      <c r="A2261" t="n">
        <v>2519</v>
      </c>
      <c r="B2261" t="inlineStr">
        <is>
          <t>As a cat owner I want a siren to go off when the cat gets on anything they shouldn't so that they don't contaminate food or make messes.</t>
        </is>
      </c>
    </row>
    <row r="2262">
      <c r="A2262" t="n">
        <v>2520</v>
      </c>
      <c r="B2262" t="inlineStr">
        <is>
          <t>As a home occupant I want monitor electric line if there any lickege. so that prevent possible disaster.</t>
        </is>
      </c>
    </row>
    <row r="2263">
      <c r="A2263" t="n">
        <v>2521</v>
      </c>
      <c r="B2263" t="inlineStr">
        <is>
          <t>As a home occupant I want my smart home to automatically contact the fire department in case of a fire so that they can come as quickly as possible.</t>
        </is>
      </c>
    </row>
    <row r="2264">
      <c r="A2264" t="n">
        <v>2522</v>
      </c>
      <c r="B2264" t="inlineStr">
        <is>
          <t>As a dog owner I want an alarm on the garbage can that goes off when anything is removed by something on 4 legs so that they don't eat out of the garbage.</t>
        </is>
      </c>
    </row>
    <row r="2265">
      <c r="A2265" t="n">
        <v>2523</v>
      </c>
      <c r="B2265" t="inlineStr">
        <is>
          <t>As a home occupant I want my smart home to automatically dispense fire extinguishing (safe) chemicals in case of a major fire so that damage will be limited.</t>
        </is>
      </c>
    </row>
    <row r="2266">
      <c r="A2266" t="n">
        <v>2524</v>
      </c>
      <c r="B2266" t="inlineStr">
        <is>
          <t>As a home occupant I want self cleaning toilet so that so its always clean.</t>
        </is>
      </c>
    </row>
    <row r="2267">
      <c r="A2267" t="n">
        <v>2525</v>
      </c>
      <c r="B2267" t="inlineStr">
        <is>
          <t>As a home occupant I want a self closing toilet with a lock so that I don't sit in the water and toddlers can't get in to play.</t>
        </is>
      </c>
    </row>
    <row r="2268">
      <c r="A2268" t="n">
        <v>2526</v>
      </c>
      <c r="B2268" t="inlineStr">
        <is>
          <t>As a payer of bills I want an alert when the water in the toilet or any water appliance is leaking so that i don't waste water.</t>
        </is>
      </c>
    </row>
    <row r="2269">
      <c r="A2269" t="n">
        <v>2527</v>
      </c>
      <c r="B2269" t="inlineStr">
        <is>
          <t>As a payer of bills I want light sensors built into plugs used for Christmas lights so that so they shut off in daylight automatically.</t>
        </is>
      </c>
    </row>
    <row r="2270">
      <c r="A2270" t="n">
        <v>2528</v>
      </c>
      <c r="B2270" t="inlineStr">
        <is>
          <t>As a home occupant I want my smart phone notify me when my fevarite program on my TV. so that I can watch it..</t>
        </is>
      </c>
    </row>
    <row r="2271">
      <c r="A2271" t="n">
        <v>2529</v>
      </c>
      <c r="B2271" t="inlineStr">
        <is>
          <t>As a home occupant I want Self loading washer and dryer  so that Myself and elderly people or people with back problems can have an easier time doing laundry.</t>
        </is>
      </c>
    </row>
    <row r="2272">
      <c r="A2272" t="n">
        <v>2530</v>
      </c>
      <c r="B2272" t="inlineStr">
        <is>
          <t>As a parent I want notify me if there are any shortage in my kitchen product. so that I can buy at time..</t>
        </is>
      </c>
    </row>
    <row r="2273">
      <c r="A2273" t="n">
        <v>2531</v>
      </c>
      <c r="B2273" t="inlineStr">
        <is>
          <t>As a home occupant I want norify me if I put things in wrong place so that I can put it on right place.</t>
        </is>
      </c>
    </row>
    <row r="2274">
      <c r="A2274" t="n">
        <v>2532</v>
      </c>
      <c r="B2274" t="inlineStr">
        <is>
          <t>As a home occupant I want Television that prioritizes my favorite programs so that I can enjoy television with friends and family.</t>
        </is>
      </c>
    </row>
    <row r="2275">
      <c r="A2275" t="n">
        <v>2533</v>
      </c>
      <c r="B2275" t="inlineStr">
        <is>
          <t>As a pet owner I want Self refilling food bowls so that My pets can have enough to eat if I have to take long trips.</t>
        </is>
      </c>
    </row>
    <row r="2276">
      <c r="A2276" t="n">
        <v>2534</v>
      </c>
      <c r="B2276" t="inlineStr">
        <is>
          <t>As a home occupant I want appliances that automatically power off when not in use so that I can save energy and money.</t>
        </is>
      </c>
    </row>
    <row r="2277">
      <c r="A2277" t="n">
        <v>2535</v>
      </c>
      <c r="B2277" t="inlineStr">
        <is>
          <t>As a consumer I want App that lets me know when I need to purchase more of something so that I never run out of things .</t>
        </is>
      </c>
    </row>
    <row r="2278">
      <c r="A2278" t="n">
        <v>2536</v>
      </c>
      <c r="B2278" t="inlineStr">
        <is>
          <t>As a home occupant I want self watering plants so that My plants can continue to be watered when I'm away.</t>
        </is>
      </c>
    </row>
    <row r="2279">
      <c r="A2279" t="n">
        <v>2538</v>
      </c>
      <c r="B2279" t="inlineStr">
        <is>
          <t>As a video game player I want automatic updating consoles so that I can get the latest downloads and updates instantly.</t>
        </is>
      </c>
    </row>
    <row r="2280">
      <c r="A2280" t="n">
        <v>2539</v>
      </c>
      <c r="B2280" t="inlineStr">
        <is>
          <t>As a home occupant I want Air chemical detection system so that I know what is in the air, especially when home renovation is happening.</t>
        </is>
      </c>
    </row>
    <row r="2281">
      <c r="A2281" t="n">
        <v>2540</v>
      </c>
      <c r="B2281" t="inlineStr">
        <is>
          <t>As a caregiver I want fall detection walls/floors so that I know if a loved one has fallen or is hurt.</t>
        </is>
      </c>
    </row>
    <row r="2282">
      <c r="A2282" t="n">
        <v>2541</v>
      </c>
      <c r="B2282" t="inlineStr">
        <is>
          <t>As a home occupant I want Smart recipe books so that I can make meals/recipes based on whatever I have in the house.</t>
        </is>
      </c>
    </row>
    <row r="2283">
      <c r="A2283" t="n">
        <v>2545</v>
      </c>
      <c r="B2283" t="inlineStr">
        <is>
          <t>As a home occupant I want a setting that will turn off all lights when movement is not detected in a room so that I can save on electricity..</t>
        </is>
      </c>
    </row>
    <row r="2284">
      <c r="A2284" t="n">
        <v>2546</v>
      </c>
      <c r="B2284" t="inlineStr">
        <is>
          <t>As a home occupant I want a stove that has voice comand settings  so that can save time whilst I prep..</t>
        </is>
      </c>
    </row>
    <row r="2285">
      <c r="A2285" t="n">
        <v>2547</v>
      </c>
      <c r="B2285" t="inlineStr">
        <is>
          <t>As a home occupant I want a siri like feature where my house can google things so that I can have a talking house..</t>
        </is>
      </c>
    </row>
    <row r="2286">
      <c r="A2286" t="n">
        <v>2548</v>
      </c>
      <c r="B2286" t="inlineStr">
        <is>
          <t>As a home occupant I want to be able to control the heat of the water to the degree so that I can get the perfect shower, or bath..</t>
        </is>
      </c>
    </row>
    <row r="2287">
      <c r="A2287" t="n">
        <v>2549</v>
      </c>
      <c r="B2287" t="inlineStr">
        <is>
          <t>As a home occupant I want automatic locks on the doors so that I ensure there will never be human error..</t>
        </is>
      </c>
    </row>
    <row r="2288">
      <c r="A2288" t="n">
        <v>2550</v>
      </c>
      <c r="B2288" t="inlineStr">
        <is>
          <t>As a home occupant I want an alarm feature that has pressurse sense windows   so that I can ensure the protection of my home..</t>
        </is>
      </c>
    </row>
    <row r="2289">
      <c r="A2289" t="n">
        <v>2551</v>
      </c>
      <c r="B2289" t="inlineStr">
        <is>
          <t>As a home occupant I want A feautre to take the humidity out of the air so that it is refreshable breathable air..</t>
        </is>
      </c>
    </row>
    <row r="2290">
      <c r="A2290" t="n">
        <v>2552</v>
      </c>
      <c r="B2290" t="inlineStr">
        <is>
          <t>As a home occupant I want A thermostat that flucuates with the peak levels of electricity use, and regulates itself so that I save on energy costs..</t>
        </is>
      </c>
    </row>
    <row r="2291">
      <c r="A2291" t="n">
        <v>2553</v>
      </c>
      <c r="B2291" t="inlineStr">
        <is>
          <t>As a home occupant I want A self cleaning shower, and toilet so that I can save time in cleaning..</t>
        </is>
      </c>
    </row>
    <row r="2292">
      <c r="A2292" t="n">
        <v>2554</v>
      </c>
      <c r="B2292" t="inlineStr">
        <is>
          <t>As a home occupant I want A floor feature  that sucks up loose debris intov vents in the wall so that I never have to vaccum again..</t>
        </is>
      </c>
    </row>
    <row r="2293">
      <c r="A2293" t="n">
        <v>2555</v>
      </c>
      <c r="B2293" t="inlineStr">
        <is>
          <t>As a home occupant I want when leaving outside all the lights to be turned off. so that my current bill would be less..</t>
        </is>
      </c>
    </row>
    <row r="2294">
      <c r="A2294" t="n">
        <v>2556</v>
      </c>
      <c r="B2294" t="inlineStr">
        <is>
          <t>As a parent I want should monitor when the tv is on and what kind of shows my kid sees so that i will guide her well.</t>
        </is>
      </c>
    </row>
    <row r="2295">
      <c r="A2295" t="n">
        <v>2557</v>
      </c>
      <c r="B2295" t="inlineStr">
        <is>
          <t>As a parent I want to get alerts when any kind of natural disasters going to happen. so that to save my family..</t>
        </is>
      </c>
    </row>
    <row r="2296">
      <c r="A2296" t="n">
        <v>2558</v>
      </c>
      <c r="B2296" t="inlineStr">
        <is>
          <t>As a parent I want to have all the required medicines so that i dont want to go to shop last time..</t>
        </is>
      </c>
    </row>
    <row r="2297">
      <c r="A2297" t="n">
        <v>2559</v>
      </c>
      <c r="B2297" t="inlineStr">
        <is>
          <t>As a home occupant I want to wake me up at the correct time in the morning. so that i can prepare and move .</t>
        </is>
      </c>
    </row>
    <row r="2298">
      <c r="A2298" t="n">
        <v>2560</v>
      </c>
      <c r="B2298" t="inlineStr">
        <is>
          <t>As a home occupant I want to get alert daily weather, accordingly set the water heater temperature. so that so that i can get a good bath and wear clothes accordingly..</t>
        </is>
      </c>
    </row>
    <row r="2299">
      <c r="A2299" t="n">
        <v>2561</v>
      </c>
      <c r="B2299" t="inlineStr">
        <is>
          <t>As a home occupant I want to get alerts when someone knocks my door. so that i can get alerted when a stranger enters in..</t>
        </is>
      </c>
    </row>
    <row r="2300">
      <c r="A2300" t="n">
        <v>2562</v>
      </c>
      <c r="B2300" t="inlineStr">
        <is>
          <t>As a home occupant I want to know when the water in the tank is going to fill. so that so that water can be saved from pouring from it..</t>
        </is>
      </c>
    </row>
    <row r="2301">
      <c r="A2301" t="n">
        <v>2563</v>
      </c>
      <c r="B2301" t="inlineStr">
        <is>
          <t>As a home owner I want my home to regulate my energy use so that I can save money and help the environment..</t>
        </is>
      </c>
    </row>
    <row r="2302">
      <c r="A2302" t="n">
        <v>2564</v>
      </c>
      <c r="B2302" t="inlineStr">
        <is>
          <t>As a home occupant I want when going to bed , in a single click all the led bulbs, switches should be turned off. so that so that i dont want to go to all the rooms to off the unwanted lights..</t>
        </is>
      </c>
    </row>
    <row r="2303">
      <c r="A2303" t="n">
        <v>2565</v>
      </c>
      <c r="B2303" t="inlineStr">
        <is>
          <t>As a parent I want the house to wake my kids up in the morning so that I dont have to do it.</t>
        </is>
      </c>
    </row>
    <row r="2304">
      <c r="A2304" t="n">
        <v>2566</v>
      </c>
      <c r="B2304" t="inlineStr">
        <is>
          <t>As a home owner I want an automatic vacuum so that the house is clean when I get home from work.</t>
        </is>
      </c>
    </row>
    <row r="2305">
      <c r="A2305" t="n">
        <v>2567</v>
      </c>
      <c r="B2305" t="inlineStr">
        <is>
          <t>As a home occupant I want to know any cameras targeting us to capture us without our permission. so that we would be more safe..</t>
        </is>
      </c>
    </row>
    <row r="2306">
      <c r="A2306" t="n">
        <v>2568</v>
      </c>
      <c r="B2306" t="inlineStr">
        <is>
          <t>As a home owner I want the doors to lock automatically behind me when coming or going. so that the house will always be secure.</t>
        </is>
      </c>
    </row>
    <row r="2307">
      <c r="A2307" t="n">
        <v>2569</v>
      </c>
      <c r="B2307" t="inlineStr">
        <is>
          <t>As a home owner I want outside motion detectors and a video recorder so that I know if someone has been trespassing on my property.</t>
        </is>
      </c>
    </row>
    <row r="2308">
      <c r="A2308" t="n">
        <v>2570</v>
      </c>
      <c r="B2308" t="inlineStr">
        <is>
          <t>As a mother I want the bathtub to self regulate water tempertature so that my kids never get burned by hot water.</t>
        </is>
      </c>
    </row>
    <row r="2309">
      <c r="A2309" t="n">
        <v>2571</v>
      </c>
      <c r="B2309" t="inlineStr">
        <is>
          <t>As a home owner I want a smart dishwasher so that my dishes will be cleaned while I'm at work.</t>
        </is>
      </c>
    </row>
    <row r="2310">
      <c r="A2310" t="n">
        <v>2572</v>
      </c>
      <c r="B2310" t="inlineStr">
        <is>
          <t>As a occupant I want my tv to find my favorite shows automatically so that I dont have to search for them.</t>
        </is>
      </c>
    </row>
    <row r="2311">
      <c r="A2311" t="n">
        <v>2573</v>
      </c>
      <c r="B2311" t="inlineStr">
        <is>
          <t>As a home owner I want a gas detector so that if there's carbon monoxide or other poisonous gases inside, the authorities are notified.</t>
        </is>
      </c>
    </row>
    <row r="2312">
      <c r="A2312" t="n">
        <v>2574</v>
      </c>
      <c r="B2312" t="inlineStr">
        <is>
          <t>As a pet owner I want my home to remind me when its time to walk the dog so that I never forget.</t>
        </is>
      </c>
    </row>
    <row r="2313">
      <c r="A2313" t="n">
        <v>2575</v>
      </c>
      <c r="B2313" t="inlineStr">
        <is>
          <t>As a home occupant I want a smart washing machine that turns on automatically or by remote command so that the clothes are washed and ready to be placed in the dryer by the time I get home from work.</t>
        </is>
      </c>
    </row>
    <row r="2314">
      <c r="A2314" t="n">
        <v>2576</v>
      </c>
      <c r="B2314" t="inlineStr">
        <is>
          <t>As a home owner I want the windows to open and close at the touch of a button so that I never struggle with opening or closing a window again..</t>
        </is>
      </c>
    </row>
    <row r="2315">
      <c r="A2315" t="n">
        <v>2577</v>
      </c>
      <c r="B2315" t="inlineStr">
        <is>
          <t>As a home occupant I want water leak detection so that I or authorities are notified if a pipe bursts or leaks.</t>
        </is>
      </c>
    </row>
    <row r="2316">
      <c r="A2316" t="n">
        <v>2578</v>
      </c>
      <c r="B2316" t="inlineStr">
        <is>
          <t>As a parent I want my kitchen to tell me when Im low on the kids favorite foods so that I never run out of anything.</t>
        </is>
      </c>
    </row>
    <row r="2317">
      <c r="A2317" t="n">
        <v>2579</v>
      </c>
      <c r="B2317" t="inlineStr">
        <is>
          <t>As a child I want a smart video game system so that it knows what I want to play when I turn it on.</t>
        </is>
      </c>
    </row>
    <row r="2318">
      <c r="A2318" t="n">
        <v>2580</v>
      </c>
      <c r="B2318" t="inlineStr">
        <is>
          <t>As a home occupant I want my home to turn off lights automatically when someone leaves a room so that electricity is not wasted..</t>
        </is>
      </c>
    </row>
    <row r="2319">
      <c r="A2319" t="n">
        <v>2581</v>
      </c>
      <c r="B2319" t="inlineStr">
        <is>
          <t>As a home occupant I want smart smoke alarms so that the authorities are notified if there's a fire and my family is awoken so they can escape..</t>
        </is>
      </c>
    </row>
    <row r="2320">
      <c r="A2320" t="n">
        <v>2582</v>
      </c>
      <c r="B2320" t="inlineStr">
        <is>
          <t>As a home owner I want the house to inform me of any insect intruders so that I can keep my home bug free.</t>
        </is>
      </c>
    </row>
    <row r="2321">
      <c r="A2321" t="n">
        <v>2583</v>
      </c>
      <c r="B2321" t="inlineStr">
        <is>
          <t>As a parent I want a pool alarm so that I am notified if a child should wander onto the grounds where the swimming pool is located.</t>
        </is>
      </c>
    </row>
    <row r="2322">
      <c r="A2322" t="n">
        <v>2584</v>
      </c>
      <c r="B2322" t="inlineStr">
        <is>
          <t>As a home office worker I want a smart computer system so that it is up and ready for work in the morning automatically without my having to turn it on.</t>
        </is>
      </c>
    </row>
    <row r="2323">
      <c r="A2323" t="n">
        <v>2585</v>
      </c>
      <c r="B2323" t="inlineStr">
        <is>
          <t>As a home occupant I want a bathtub that fills to a predetermined water level so that I don't use an excess of water.</t>
        </is>
      </c>
    </row>
    <row r="2324">
      <c r="A2324" t="n">
        <v>2586</v>
      </c>
      <c r="B2324" t="inlineStr">
        <is>
          <t>As a home occupant I want a thermostat that regulates the temperature inside the house and turns off when needed so that it cuts down on energy costs.</t>
        </is>
      </c>
    </row>
    <row r="2325">
      <c r="A2325" t="n">
        <v>2587</v>
      </c>
      <c r="B2325" t="inlineStr">
        <is>
          <t>As a home occupant I want lights that turn off in rooms when there is no movement detected in a certain amount of minutes so that it cuts down on energy costs.</t>
        </is>
      </c>
    </row>
    <row r="2326">
      <c r="A2326" t="n">
        <v>2588</v>
      </c>
      <c r="B2326" t="inlineStr">
        <is>
          <t>As a home occupant I want a low flow toliet that automatically flushes when someone walks away so that it saves water and you never have to manually flush again.</t>
        </is>
      </c>
    </row>
    <row r="2327">
      <c r="A2327" t="n">
        <v>2589</v>
      </c>
      <c r="B2327" t="inlineStr">
        <is>
          <t>As a home occupant I want electronics to automatically come on at set time, around the time I arrive home from work so that dont have to do it myself and can immediately relax.</t>
        </is>
      </c>
    </row>
    <row r="2328">
      <c r="A2328" t="n">
        <v>2590</v>
      </c>
      <c r="B2328" t="inlineStr">
        <is>
          <t>As a home occupant I want a surveillance system that records movement outside my house and uploads it to my home server so that I can see any potential intruders.</t>
        </is>
      </c>
    </row>
    <row r="2329">
      <c r="A2329" t="n">
        <v>2591</v>
      </c>
      <c r="B2329" t="inlineStr">
        <is>
          <t>As a home occupant I want a health monitoring system that can detect my blood pressure and other critical health factors so that I can take precautionary measures to live a better and healthier life.</t>
        </is>
      </c>
    </row>
    <row r="2330">
      <c r="A2330" t="n">
        <v>2592</v>
      </c>
      <c r="B2330" t="inlineStr">
        <is>
          <t>As a home occupant I want a food device that organizes food portions and/or calories so that I can maintain a healthy weight and lifestyle.</t>
        </is>
      </c>
    </row>
    <row r="2331">
      <c r="A2331" t="n">
        <v>2593</v>
      </c>
      <c r="B2331" t="inlineStr">
        <is>
          <t>As a home occupant I want a securty system that automatically locks doors and windows after a certain time of the day so that I can keep intruders out of my house when I'm not there or I'm sleeping.</t>
        </is>
      </c>
    </row>
    <row r="2332">
      <c r="A2332" t="n">
        <v>2594</v>
      </c>
      <c r="B2332" t="inlineStr">
        <is>
          <t>As a home occupant I want a device that heats the roof of the house to melt snow so that if there is ever a large snowstorm, I dont run the risk of my roof colapsing.</t>
        </is>
      </c>
    </row>
    <row r="2333">
      <c r="A2333" t="n">
        <v>2595</v>
      </c>
      <c r="B2333" t="inlineStr">
        <is>
          <t>As a cook I want to know when my spices are getting low so that I know when to buy another of that spice.</t>
        </is>
      </c>
    </row>
    <row r="2334">
      <c r="A2334" t="n">
        <v>2596</v>
      </c>
      <c r="B2334" t="inlineStr">
        <is>
          <t>As a cook I want a shopping list to be generated automatically when I throw away empty containers of food so that I don't have to write down and maintain the grocery list.</t>
        </is>
      </c>
    </row>
    <row r="2335">
      <c r="A2335" t="n">
        <v>2597</v>
      </c>
      <c r="B2335" t="inlineStr">
        <is>
          <t>As a dog owner I want the door to unlock open automatically when my dog needs to use the bathroom, then let him back in, and then shut and lock the door behind him so that I don't have to go home on my lunch break to let the dog out.</t>
        </is>
      </c>
    </row>
    <row r="2336">
      <c r="A2336" t="n">
        <v>2598</v>
      </c>
      <c r="B2336" t="inlineStr">
        <is>
          <t>As a home owner I want the Christmas lights to turn off and on automatically so that I don't have to worry about a fire.</t>
        </is>
      </c>
    </row>
    <row r="2337">
      <c r="A2337" t="n">
        <v>2599</v>
      </c>
      <c r="B2337" t="inlineStr">
        <is>
          <t>As a home owner I want the thermostat to automatically detect when we are in REM sleep to decrease the temperature so that we save money and energy.</t>
        </is>
      </c>
    </row>
    <row r="2338">
      <c r="A2338" t="n">
        <v>2600</v>
      </c>
      <c r="B2338" t="inlineStr">
        <is>
          <t>As a home owner I want a vacuum that automatically cleans the floor when it senses that it is dirty so that my floors stay clean.</t>
        </is>
      </c>
    </row>
    <row r="2339">
      <c r="A2339" t="n">
        <v>2601</v>
      </c>
      <c r="B2339" t="inlineStr">
        <is>
          <t>As a home owner I want a garage door that automatically sense when I get in my car and opens the door or when my car approaches the door and opens the door so that I don't have to use a garage door opener.</t>
        </is>
      </c>
    </row>
    <row r="2340">
      <c r="A2340" t="n">
        <v>2602</v>
      </c>
      <c r="B2340" t="inlineStr">
        <is>
          <t>As a home owner I want smart key locks so that I can open my doors with my smartphone or a fingerprint sensor if I lose my keys.</t>
        </is>
      </c>
    </row>
    <row r="2341">
      <c r="A2341" t="n">
        <v>2603</v>
      </c>
      <c r="B2341" t="inlineStr">
        <is>
          <t>As a home owner I want a smart shower that reads temperature and time spent in the shower so that I can save water, time, and energy.</t>
        </is>
      </c>
    </row>
    <row r="2342">
      <c r="A2342" t="n">
        <v>2604</v>
      </c>
      <c r="B2342" t="inlineStr">
        <is>
          <t>As a music listener I want a refrigerator that plays music so that I can easily listen to music while cooking and doing meal preparation.</t>
        </is>
      </c>
    </row>
    <row r="2343">
      <c r="A2343" t="n">
        <v>2605</v>
      </c>
      <c r="B2343" t="inlineStr">
        <is>
          <t>As a home occupant I want my shower to immediately turn to a warm temperature before I get in so that I can have a comfortable show.</t>
        </is>
      </c>
    </row>
    <row r="2344">
      <c r="A2344" t="n">
        <v>2606</v>
      </c>
      <c r="B2344" t="inlineStr">
        <is>
          <t>As a parent I want front door to lock if I am in the shower or busy cooking so that my child cannot get out on their own.</t>
        </is>
      </c>
    </row>
    <row r="2345">
      <c r="A2345" t="n">
        <v>2607</v>
      </c>
      <c r="B2345" t="inlineStr">
        <is>
          <t>As a home occupant I want my water heater to turn off by itself at night so that I can save money on my electricity and water bills.</t>
        </is>
      </c>
    </row>
    <row r="2346">
      <c r="A2346" t="n">
        <v>2608</v>
      </c>
      <c r="B2346" t="inlineStr">
        <is>
          <t>As a home occupant I want my television to automatically turn off if I fall asleep on the couch so that it doesn't waste extra electricity.</t>
        </is>
      </c>
    </row>
    <row r="2347">
      <c r="A2347" t="n">
        <v>2609</v>
      </c>
      <c r="B2347" t="inlineStr">
        <is>
          <t>As a parent I want my stove to immediately cool down after I am done cooking so that my child cannot get burned.</t>
        </is>
      </c>
    </row>
    <row r="2348">
      <c r="A2348" t="n">
        <v>2610</v>
      </c>
      <c r="B2348" t="inlineStr">
        <is>
          <t>As a home owner I want my doors to lock if an intruder comes in so that they cannot escape and will be caught by police.</t>
        </is>
      </c>
    </row>
    <row r="2349">
      <c r="A2349" t="n">
        <v>2611</v>
      </c>
      <c r="B2349" t="inlineStr">
        <is>
          <t>As a parent I want my pool to automatically cover itself when my child is playing outside so that they will not fall in or rown.</t>
        </is>
      </c>
    </row>
    <row r="2350">
      <c r="A2350" t="n">
        <v>2612</v>
      </c>
      <c r="B2350" t="inlineStr">
        <is>
          <t>As a home occupant I want my blinds to close when the house gets too sunny so that it stays cool inside.</t>
        </is>
      </c>
    </row>
    <row r="2351">
      <c r="A2351" t="n">
        <v>2613</v>
      </c>
      <c r="B2351" t="inlineStr">
        <is>
          <t>As a home occupant I want my dishwasher to automatically open when it's finished so that the dishes can dry out easier.</t>
        </is>
      </c>
    </row>
    <row r="2352">
      <c r="A2352" t="n">
        <v>2614</v>
      </c>
      <c r="B2352" t="inlineStr">
        <is>
          <t>As a parent I want my tub to stop filling when it reaches halfway so that my child can easily take a bath safely.</t>
        </is>
      </c>
    </row>
    <row r="2353">
      <c r="A2353" t="n">
        <v>2615</v>
      </c>
      <c r="B2353" t="inlineStr">
        <is>
          <t>As a home owner I want a security system that informs me of doors opening so that I can know who is in my home at any time.</t>
        </is>
      </c>
    </row>
    <row r="2354">
      <c r="A2354" t="n">
        <v>2616</v>
      </c>
      <c r="B2354" t="inlineStr">
        <is>
          <t>As a gamer I want the house to increase the volume when I'm playing so that I can enjoy the game more.</t>
        </is>
      </c>
    </row>
    <row r="2355">
      <c r="A2355" t="n">
        <v>2618</v>
      </c>
      <c r="B2355" t="inlineStr">
        <is>
          <t>As a friend I want my house to adjust lighting based on how many people are there so that people can see well and the house is nice looking.</t>
        </is>
      </c>
    </row>
    <row r="2356">
      <c r="A2356" t="n">
        <v>2620</v>
      </c>
      <c r="B2356" t="inlineStr">
        <is>
          <t>As a music fan I want my house to turn speakers on depending on which room I'm in so that I can hear my music wherever I go.</t>
        </is>
      </c>
    </row>
    <row r="2357">
      <c r="A2357" t="n">
        <v>2622</v>
      </c>
      <c r="B2357" t="inlineStr">
        <is>
          <t>As a parent I want to protect my children from harm so that they will feel safe in their own home and in the immediate area of the home.</t>
        </is>
      </c>
    </row>
    <row r="2358">
      <c r="A2358" t="n">
        <v>2623</v>
      </c>
      <c r="B2358" t="inlineStr">
        <is>
          <t>As a renter I want to be able to notify my landlord when there is a maintenance problem automatically though a smart home app. so that i don't have to take the time and contact the landlord when I have a maintenance problem.</t>
        </is>
      </c>
    </row>
    <row r="2359">
      <c r="A2359" t="n">
        <v>2624</v>
      </c>
      <c r="B2359" t="inlineStr">
        <is>
          <t>As a parent I want the lights to dim when it gets late so that my children will get sleepy and know when it's time for bed.</t>
        </is>
      </c>
    </row>
    <row r="2360">
      <c r="A2360" t="n">
        <v>2625</v>
      </c>
      <c r="B2360" t="inlineStr">
        <is>
          <t>As a parent I want the oven to only function when I'm in the kitchen so that the kids won't hurt themselves.</t>
        </is>
      </c>
    </row>
    <row r="2361">
      <c r="A2361" t="n">
        <v>2627</v>
      </c>
      <c r="B2361" t="inlineStr">
        <is>
          <t>As a home occupant I want the fireplace to turn on as soon as I enter the living room so that I can be warm and comfortable in the winter.</t>
        </is>
      </c>
    </row>
    <row r="2362">
      <c r="A2362" t="n">
        <v>2628</v>
      </c>
      <c r="B2362" t="inlineStr">
        <is>
          <t>As a smoker I want a reminder or alarm sent when I have a lit cigarette and I am not in the same room so that I can prevent potential fires.</t>
        </is>
      </c>
    </row>
    <row r="2363">
      <c r="A2363" t="n">
        <v>2629</v>
      </c>
      <c r="B2363" t="inlineStr">
        <is>
          <t>As a home owner I want the windows to automatically lock at night so that I can prevent break-ins.</t>
        </is>
      </c>
    </row>
    <row r="2364">
      <c r="A2364" t="n">
        <v>2630</v>
      </c>
      <c r="B2364" t="inlineStr">
        <is>
          <t>As a father I want to be able to have a robot with cameras on it roam my house at my control. so that I can see what's going on with my children when i'm not home..</t>
        </is>
      </c>
    </row>
    <row r="2365">
      <c r="A2365" t="n">
        <v>2631</v>
      </c>
      <c r="B2365" t="inlineStr">
        <is>
          <t>As a parent I want the garage door to only open on my command so that the kids can't get out of the house.</t>
        </is>
      </c>
    </row>
    <row r="2366">
      <c r="A2366" t="n">
        <v>2632</v>
      </c>
      <c r="B2366" t="inlineStr">
        <is>
          <t>As a home occupant I want my smart home to inform me if I haven't consumed enough calories at certain points in the day.  so that I would be able to have energy throughout the day. .</t>
        </is>
      </c>
    </row>
    <row r="2367">
      <c r="A2367" t="n">
        <v>2633</v>
      </c>
      <c r="B2367" t="inlineStr">
        <is>
          <t>As a parent I want an alarm every time my child gets close to the top of the stairs so that a fall can be prevented.</t>
        </is>
      </c>
    </row>
    <row r="2368">
      <c r="A2368" t="n">
        <v>2634</v>
      </c>
      <c r="B2368" t="inlineStr">
        <is>
          <t>As a sports fan I want my televisions to be automatically switched to the stations that my favorite sports teams are playing on. so that I don't forget to watch the games..</t>
        </is>
      </c>
    </row>
    <row r="2369">
      <c r="A2369" t="n">
        <v>2635</v>
      </c>
      <c r="B2369" t="inlineStr">
        <is>
          <t>As a home owner I want the temperature to automatically adjust based on how hot or cold it is outside so that I am comfortable.</t>
        </is>
      </c>
    </row>
    <row r="2370">
      <c r="A2370" t="n">
        <v>2637</v>
      </c>
      <c r="B2370" t="inlineStr">
        <is>
          <t>As a person who likes movies I want a projector that can be hidden when not in use but when in use can use a wall as a screen with the clarity of a HD TV.  so that we can watch movies and TV on a big screen.</t>
        </is>
      </c>
    </row>
    <row r="2371">
      <c r="A2371" t="n">
        <v>2638</v>
      </c>
      <c r="B2371" t="inlineStr">
        <is>
          <t>As a parent I want the ability to lock all doors on command so that I can put the house into lock down to protect my kids.</t>
        </is>
      </c>
    </row>
    <row r="2372">
      <c r="A2372" t="n">
        <v>2639</v>
      </c>
      <c r="B2372" t="inlineStr">
        <is>
          <t>As a car owner I want to be able to start my vehicle from a button inside the house. so that I don't have to use an app on my smartphone or go outside to start my car..</t>
        </is>
      </c>
    </row>
    <row r="2373">
      <c r="A2373" t="n">
        <v>2640</v>
      </c>
      <c r="B2373" t="inlineStr">
        <is>
          <t>As a music lover I want my Pandora station to turn on when I enter a room so that I can enjoy my music without effort.</t>
        </is>
      </c>
    </row>
    <row r="2374">
      <c r="A2374" t="n">
        <v>2641</v>
      </c>
      <c r="B2374" t="inlineStr">
        <is>
          <t>As a home owner I want a mutil detector for smoke, radon, carbon monoxide all in one unit  so that I do not have to have many detectors for different elements in my home.</t>
        </is>
      </c>
    </row>
    <row r="2375">
      <c r="A2375" t="n">
        <v>2642</v>
      </c>
      <c r="B2375" t="inlineStr">
        <is>
          <t>As a farmer I want to be notified when my crops need to be watered so that i know when to water them.</t>
        </is>
      </c>
    </row>
    <row r="2376">
      <c r="A2376" t="n">
        <v>2643</v>
      </c>
      <c r="B2376" t="inlineStr">
        <is>
          <t>As a home occupant I want lights in my smart home to open when I enter a room and turn off as I leave.  so that I can conserve energy and save money. .</t>
        </is>
      </c>
    </row>
    <row r="2377">
      <c r="A2377" t="n">
        <v>2645</v>
      </c>
      <c r="B2377" t="inlineStr">
        <is>
          <t>As a connoisseur of fine bathroom entertainment I want a panoramic theater system in my bathroom so that I can i can be entertained while I go poopoo..</t>
        </is>
      </c>
    </row>
    <row r="2378">
      <c r="A2378" t="n">
        <v>2646</v>
      </c>
      <c r="B2378" t="inlineStr">
        <is>
          <t>As a home owner I want my smart home to turn off the oven after a certain time so that I wont burn the food.</t>
        </is>
      </c>
    </row>
    <row r="2379">
      <c r="A2379" t="n">
        <v>2647</v>
      </c>
      <c r="B2379" t="inlineStr">
        <is>
          <t>As a energy conservationist I want to shut off my hot water heaters when I am not at home  so that I save energy by not heating water when I don't need it..</t>
        </is>
      </c>
    </row>
    <row r="2380">
      <c r="A2380" t="n">
        <v>2648</v>
      </c>
      <c r="B2380" t="inlineStr">
        <is>
          <t>As a bath taker I want a feature that can fill a tub remotely to the temperature I set as well as dispense correct amounts of soap/bubble bath  so that I can do other things while the tub is filling or I can have the tub ready for me when I get in. .</t>
        </is>
      </c>
    </row>
    <row r="2381">
      <c r="A2381" t="n">
        <v>2649</v>
      </c>
      <c r="B2381" t="inlineStr">
        <is>
          <t>As a home owner I want my lawnmower to mow automatically so that I wont have to mow the lawn.</t>
        </is>
      </c>
    </row>
    <row r="2382">
      <c r="A2382" t="n">
        <v>2650</v>
      </c>
      <c r="B2382" t="inlineStr">
        <is>
          <t>As a health conscious person I want a screen in the kitchen that will choose healthy dinner recipes for my family on a nightly basis so that I don't have to make decisions on what to cook for dinner.</t>
        </is>
      </c>
    </row>
    <row r="2383">
      <c r="A2383" t="n">
        <v>2651</v>
      </c>
      <c r="B2383" t="inlineStr">
        <is>
          <t>As a pet owner I want some kind of food dispenser that knows when to feed my cats and dogs so that I do not have to do it.</t>
        </is>
      </c>
    </row>
    <row r="2384">
      <c r="A2384" t="n">
        <v>2653</v>
      </c>
      <c r="B2384" t="inlineStr">
        <is>
          <t>As a home owner I want my alarm to go off when my child opens the door so that my kids will be safe.</t>
        </is>
      </c>
    </row>
    <row r="2385">
      <c r="A2385" t="n">
        <v>2654</v>
      </c>
      <c r="B2385" t="inlineStr">
        <is>
          <t>As a cook I want a feature in my stove that will tell me the exact temperature of not just the stove but the burners and grill feature as well when in use so that I can monitor my food being cooked to the exact degree as some things need precision. .</t>
        </is>
      </c>
    </row>
    <row r="2386">
      <c r="A2386" t="n">
        <v>2655</v>
      </c>
      <c r="B2386" t="inlineStr">
        <is>
          <t>As a parent I want my smart home to turn on the lights when my child cries so that I may not have to get up at night.</t>
        </is>
      </c>
    </row>
    <row r="2387">
      <c r="A2387" t="n">
        <v>2656</v>
      </c>
      <c r="B2387" t="inlineStr">
        <is>
          <t>As a cancer patient I want a full featured remote to control diagnostics of my health and be transmitted to my television. so that I can monitor my diagnostics wireless and possibly have them transmitted to my Dr..</t>
        </is>
      </c>
    </row>
    <row r="2388">
      <c r="A2388" t="n">
        <v>2658</v>
      </c>
      <c r="B2388" t="inlineStr">
        <is>
          <t>As a parent I want my smart home to send a warning if the oven gets turned on by child so that my child will be safe.</t>
        </is>
      </c>
    </row>
    <row r="2389">
      <c r="A2389" t="n">
        <v>2660</v>
      </c>
      <c r="B2389" t="inlineStr">
        <is>
          <t>As a uncle I want my home to automatically recognize my nephews and nieces through facial recognition software and give them access to the house when they visit. so that I do not have to give them a key..</t>
        </is>
      </c>
    </row>
    <row r="2390">
      <c r="A2390" t="n">
        <v>2661</v>
      </c>
      <c r="B2390" t="inlineStr">
        <is>
          <t>As a parent I want my smart home to automatically lock doors at night so that my family will be safe.</t>
        </is>
      </c>
    </row>
    <row r="2391">
      <c r="A2391" t="n">
        <v>2662</v>
      </c>
      <c r="B2391" t="inlineStr">
        <is>
          <t>As a home occupant I want electronics to turn themselves off if not being used in a certain amount of time so that electricity consumption is reduced.</t>
        </is>
      </c>
    </row>
    <row r="2392">
      <c r="A2392" t="n">
        <v>2663</v>
      </c>
      <c r="B2392" t="inlineStr">
        <is>
          <t>As a home occupant I want to be notified when a package is left so that I can grab it and am aware it's there.</t>
        </is>
      </c>
    </row>
    <row r="2393">
      <c r="A2393" t="n">
        <v>2664</v>
      </c>
      <c r="B2393" t="inlineStr">
        <is>
          <t>As a pet owner I want a vacuum cleaner that can automatically clean all pet areas on a daily basis or any area in which they have food or a high concentration of hair so that I can keep these areas clean - they seem to get dirtier faster. .</t>
        </is>
      </c>
    </row>
    <row r="2394">
      <c r="A2394" t="n">
        <v>2665</v>
      </c>
      <c r="B2394" t="inlineStr">
        <is>
          <t>As a parent I want a healthy snack dispenser that will be accessible to my child at predetermined times throughout the day so that my child can have an approved snack without having to ask.</t>
        </is>
      </c>
    </row>
    <row r="2395">
      <c r="A2395" t="n">
        <v>2666</v>
      </c>
      <c r="B2395" t="inlineStr">
        <is>
          <t>As a home owner I want my smart home to  immediately sound alarm if smoke is found so that my family will be safe.</t>
        </is>
      </c>
    </row>
    <row r="2396">
      <c r="A2396" t="n">
        <v>2667</v>
      </c>
      <c r="B2396" t="inlineStr">
        <is>
          <t>As a music lover I want my favorite music to play at good times of day so that I can enjoy it.</t>
        </is>
      </c>
    </row>
    <row r="2397">
      <c r="A2397" t="n">
        <v>2668</v>
      </c>
      <c r="B2397" t="inlineStr">
        <is>
          <t>As a home occupant I want toilets to flush automatically. so that I don't have to waste time doing it. .</t>
        </is>
      </c>
    </row>
    <row r="2398">
      <c r="A2398" t="n">
        <v>2669</v>
      </c>
      <c r="B2398" t="inlineStr">
        <is>
          <t>As a home occupant I want lightbulbs that turn off if a human presence is not detected so that energy will be saved..</t>
        </is>
      </c>
    </row>
    <row r="2399">
      <c r="A2399" t="n">
        <v>2670</v>
      </c>
      <c r="B2399" t="inlineStr">
        <is>
          <t>As a pet owner I want the house to know how much food I have left so that it can order some more.</t>
        </is>
      </c>
    </row>
    <row r="2400">
      <c r="A2400" t="n">
        <v>2671</v>
      </c>
      <c r="B2400" t="inlineStr">
        <is>
          <t>As a home owner I want my smart home to sound an alarm if someone is walking around after night so that my family will be safe.</t>
        </is>
      </c>
    </row>
    <row r="2401">
      <c r="A2401" t="n">
        <v>2672</v>
      </c>
      <c r="B2401" t="inlineStr">
        <is>
          <t>As a home occupant I want a system that will turn on sprinklers and automatically open windows and drop down ladders in the case of a fire so that my family can quickly evacuate.</t>
        </is>
      </c>
    </row>
    <row r="2402">
      <c r="A2402" t="n">
        <v>2673</v>
      </c>
      <c r="B2402" t="inlineStr">
        <is>
          <t>As a neighbor I want to keep my leaves from falling into the neighbors' yard in the fall so I want a machine that can somhow detect a falling leaf and send to to the ground on my own property so that my elderly neighbors do not have to rake leaves that are not theirs. .</t>
        </is>
      </c>
    </row>
    <row r="2403">
      <c r="A2403" t="n">
        <v>2674</v>
      </c>
      <c r="B2403" t="inlineStr">
        <is>
          <t>As a healthy person I want exercise to turn to electricity so that I can contribute.</t>
        </is>
      </c>
    </row>
    <row r="2404">
      <c r="A2404" t="n">
        <v>2675</v>
      </c>
      <c r="B2404" t="inlineStr">
        <is>
          <t>As a home occupant I want the house to adjust the temp to lower while I'm asleep so that I can save energy.</t>
        </is>
      </c>
    </row>
    <row r="2405">
      <c r="A2405" t="n">
        <v>2676</v>
      </c>
      <c r="B2405" t="inlineStr">
        <is>
          <t>As a movie watcher I want a tv that gathers information about what I watch, and recommends movies to me so that I can broaden my movie collection.</t>
        </is>
      </c>
    </row>
    <row r="2406">
      <c r="A2406" t="n">
        <v>2677</v>
      </c>
      <c r="B2406" t="inlineStr">
        <is>
          <t>As a pet owner I want the house to feed the cat so that I don't have to .</t>
        </is>
      </c>
    </row>
    <row r="2407">
      <c r="A2407" t="n">
        <v>2679</v>
      </c>
      <c r="B2407" t="inlineStr">
        <is>
          <t>As a parent I want my smart home to alarm if there is excessive screaming so that my family will be safe.</t>
        </is>
      </c>
    </row>
    <row r="2408">
      <c r="A2408" t="n">
        <v>2680</v>
      </c>
      <c r="B2408" t="inlineStr">
        <is>
          <t>As a gamer I want the house to have a gaming mode so that lighting and sounds are adjusted.</t>
        </is>
      </c>
    </row>
    <row r="2409">
      <c r="A2409" t="n">
        <v>2681</v>
      </c>
      <c r="B2409" t="inlineStr">
        <is>
          <t>As a parent of a young child (6) I want a feature that will set out his clothes for him on a daily basis - basically a system that will put from his closet so that he can get dressed without issue in the morning and not have us help him when we could be doing other things.</t>
        </is>
      </c>
    </row>
    <row r="2410">
      <c r="A2410" t="n">
        <v>2682</v>
      </c>
      <c r="B2410" t="inlineStr">
        <is>
          <t>As a home occupant I want floors that stay a certain temperature so that so I don't get cold.</t>
        </is>
      </c>
    </row>
    <row r="2411">
      <c r="A2411" t="n">
        <v>2683</v>
      </c>
      <c r="B2411" t="inlineStr">
        <is>
          <t>As a businessman I want the house to grab the mail so that I don't have to go to the mailbox.</t>
        </is>
      </c>
    </row>
    <row r="2412">
      <c r="A2412" t="n">
        <v>2684</v>
      </c>
      <c r="B2412" t="inlineStr">
        <is>
          <t>As a home occupant I want a trash can that will automatically sort and bag trash, recycling and compost so that we can practice conservation with minimal effort.</t>
        </is>
      </c>
    </row>
    <row r="2413">
      <c r="A2413" t="n">
        <v>2685</v>
      </c>
      <c r="B2413" t="inlineStr">
        <is>
          <t>As a home occupant I want a shower feature that remembers my favorite temperature and automatically sets the correct temperature so that I can take a nice shower.</t>
        </is>
      </c>
    </row>
    <row r="2414">
      <c r="A2414" t="n">
        <v>2686</v>
      </c>
      <c r="B2414" t="inlineStr">
        <is>
          <t>As a home owner I want doors to unlock automatically if I am specifically detected.  so that I don't need to deal with keys. .</t>
        </is>
      </c>
    </row>
    <row r="2415">
      <c r="A2415" t="n">
        <v>2687</v>
      </c>
      <c r="B2415" t="inlineStr">
        <is>
          <t>As a occupant I want the kitchen to clean itself so that I don't have to .</t>
        </is>
      </c>
    </row>
    <row r="2416">
      <c r="A2416" t="n">
        <v>2688</v>
      </c>
      <c r="B2416" t="inlineStr">
        <is>
          <t>As a pool owner I want a feature that can automatically drain my pool in the fall/winter, cover it, and then refill it in the spring so that we can enjoy the pool in the months we can use it. .</t>
        </is>
      </c>
    </row>
    <row r="2417">
      <c r="A2417" t="n">
        <v>2689</v>
      </c>
      <c r="B2417" t="inlineStr">
        <is>
          <t>As a pet owner I want the house to reprimand the animals  so that I don't have to .</t>
        </is>
      </c>
    </row>
    <row r="2418">
      <c r="A2418" t="n">
        <v>2690</v>
      </c>
      <c r="B2418" t="inlineStr">
        <is>
          <t>As a reality tv fan I want my TV to find all of my favorite shows on demand so that I can watch what I want without having to search.</t>
        </is>
      </c>
    </row>
    <row r="2419">
      <c r="A2419" t="n">
        <v>2691</v>
      </c>
      <c r="B2419" t="inlineStr">
        <is>
          <t>As a home occupant I want doors to open automatically.  so that I can save time. .</t>
        </is>
      </c>
    </row>
    <row r="2420">
      <c r="A2420" t="n">
        <v>2692</v>
      </c>
      <c r="B2420" t="inlineStr">
        <is>
          <t>As a pet owner I want a motion detector in the kitchen so that I know when my dogs go in there.</t>
        </is>
      </c>
    </row>
    <row r="2421">
      <c r="A2421" t="n">
        <v>2693</v>
      </c>
      <c r="B2421" t="inlineStr">
        <is>
          <t>As a parent I want my smart home to notify me if someone leaves out or comes in after midnight so that I will know if there is toruble.</t>
        </is>
      </c>
    </row>
    <row r="2422">
      <c r="A2422" t="n">
        <v>2694</v>
      </c>
      <c r="B2422" t="inlineStr">
        <is>
          <t>As a home owner I want my smart home to notify me if there is a leak in the roof so that I can prevent further damage to my home.</t>
        </is>
      </c>
    </row>
    <row r="2423">
      <c r="A2423" t="n">
        <v>2695</v>
      </c>
      <c r="B2423" t="inlineStr">
        <is>
          <t>As a home occupant I want a stove that can cook multiple items at different temperatures at the same time so that I can prepare a meal and save time.</t>
        </is>
      </c>
    </row>
    <row r="2424">
      <c r="A2424" t="n">
        <v>2696</v>
      </c>
      <c r="B2424" t="inlineStr">
        <is>
          <t>As a home occupant I want communication to open up with anyone in the house when prompted.  so that I can talk to someone without having to find them. .</t>
        </is>
      </c>
    </row>
    <row r="2425">
      <c r="A2425" t="n">
        <v>2697</v>
      </c>
      <c r="B2425" t="inlineStr">
        <is>
          <t>As a home occupant I want a space heater that actually maintains the temperature in the room so that my utility bill will be reduced.</t>
        </is>
      </c>
    </row>
    <row r="2426">
      <c r="A2426" t="n">
        <v>2698</v>
      </c>
      <c r="B2426" t="inlineStr">
        <is>
          <t>As a home owner I want food created on demand so that I can have exactly what I want when I want it..</t>
        </is>
      </c>
    </row>
    <row r="2427">
      <c r="A2427" t="n">
        <v>2699</v>
      </c>
      <c r="B2427" t="inlineStr">
        <is>
          <t>As a parent I want my smart home to alert me when anything rated higher than TV PG is playing on the televisions in the house  so that I will know to supervise my kids' TV viewing or to block a show or channel.</t>
        </is>
      </c>
    </row>
    <row r="2428">
      <c r="A2428" t="n">
        <v>2700</v>
      </c>
      <c r="B2428" t="inlineStr">
        <is>
          <t>As a parent I want sensor that will monitor my child's body temperature at all times so that I can tell when he has a fever.</t>
        </is>
      </c>
    </row>
    <row r="2429">
      <c r="A2429" t="n">
        <v>2701</v>
      </c>
      <c r="B2429" t="inlineStr">
        <is>
          <t>As a pet owner I want a camera that connects to my smartphone and comes on when it detects pets but not humans so that I can keep a watchful eye on my precocious dogs..</t>
        </is>
      </c>
    </row>
    <row r="2430">
      <c r="A2430" t="n">
        <v>2702</v>
      </c>
      <c r="B2430" t="inlineStr">
        <is>
          <t>As a home owner I want my smart home to alert me to reports of impending violent weather so that I can make preparations for safety.</t>
        </is>
      </c>
    </row>
    <row r="2431">
      <c r="A2431" t="n">
        <v>2703</v>
      </c>
      <c r="B2431" t="inlineStr">
        <is>
          <t>As a home owner I want a smart shower system so that water pressure and heat will remain consistent and strong for the duration of my showers..</t>
        </is>
      </c>
    </row>
    <row r="2432">
      <c r="A2432" t="n">
        <v>2704</v>
      </c>
      <c r="B2432" t="inlineStr">
        <is>
          <t>As a home occupant I want Toilet to automatically flush with voice activation. so that So I don't have to touch the toilet handle. .</t>
        </is>
      </c>
    </row>
    <row r="2433">
      <c r="A2433" t="n">
        <v>2705</v>
      </c>
      <c r="B2433" t="inlineStr">
        <is>
          <t>As a home occupant I want to be informed if a person has fallen anywhere in the house.  so that I can check to make sure they are OK. .</t>
        </is>
      </c>
    </row>
    <row r="2434">
      <c r="A2434" t="n">
        <v>2706</v>
      </c>
      <c r="B2434" t="inlineStr">
        <is>
          <t>As a home occupant I want a computer program that hooks to an outdoor camera and makes a popup appear on my PC screen when someone comes to the door so that I can know who is at the door and decide if I want to answer or not.</t>
        </is>
      </c>
    </row>
    <row r="2435">
      <c r="A2435" t="n">
        <v>2707</v>
      </c>
      <c r="B2435" t="inlineStr">
        <is>
          <t>As a home owner I want my smart home to alert me when any light bulb has fewer than 8 hours of life remaining so that I can replace them before getting trapped in the dark.</t>
        </is>
      </c>
    </row>
    <row r="2436">
      <c r="A2436" t="n">
        <v>2708</v>
      </c>
      <c r="B2436" t="inlineStr">
        <is>
          <t>As a parent I want the crib to have motion detection.  so that the crib can automate and control baby's crying with voice control and notify me of potentially dangerous situations. .</t>
        </is>
      </c>
    </row>
    <row r="2437">
      <c r="A2437" t="n">
        <v>2709</v>
      </c>
      <c r="B2437" t="inlineStr">
        <is>
          <t>As a home owner I want a smart floor so that when the interior temperature reaches a certain point, the floors will warm up automatically..</t>
        </is>
      </c>
    </row>
    <row r="2438">
      <c r="A2438" t="n">
        <v>2710</v>
      </c>
      <c r="B2438" t="inlineStr">
        <is>
          <t>As a home occupant I want my smart home to alert me when streams, shows, podcasts I am interested in are coming on or are posted.  so that I don't miss something I want to listen to or watch. .</t>
        </is>
      </c>
    </row>
    <row r="2439">
      <c r="A2439" t="n">
        <v>2711</v>
      </c>
      <c r="B2439" t="inlineStr">
        <is>
          <t>As a home occupant I want lights to auto adjust dimness based on time of day.  so that I can save electricity and regulate my sleep schedule with natural lighting. .</t>
        </is>
      </c>
    </row>
    <row r="2440">
      <c r="A2440" t="n">
        <v>2712</v>
      </c>
      <c r="B2440" t="inlineStr">
        <is>
          <t>As a home occupant I want appliances that have a feature like new cars that let you know when your tire pressure is low so that my appliances can let me know when a part starts going out.</t>
        </is>
      </c>
    </row>
    <row r="2441">
      <c r="A2441" t="n">
        <v>2713</v>
      </c>
      <c r="B2441" t="inlineStr">
        <is>
          <t>As a home owner I want my smart home to alert me to reports of crimes in the area so that I can be on alert for security.</t>
        </is>
      </c>
    </row>
    <row r="2442">
      <c r="A2442" t="n">
        <v>2714</v>
      </c>
      <c r="B2442" t="inlineStr">
        <is>
          <t>As a home occupant I want Rollup window blind sensors so that The window blinds will open automatically during daylight hours and then close when it is dark..</t>
        </is>
      </c>
    </row>
    <row r="2443">
      <c r="A2443" t="n">
        <v>2715</v>
      </c>
      <c r="B2443" t="inlineStr">
        <is>
          <t>As a home occupant I want a sensor in the fridge so that it will detect any rotting food or food with bacterium in it so I know to avoid eating it.</t>
        </is>
      </c>
    </row>
    <row r="2444">
      <c r="A2444" t="n">
        <v>2716</v>
      </c>
      <c r="B2444" t="inlineStr">
        <is>
          <t>As a home occupant I want my TV to automatically play my favorite show/news channel when I get home from work.  so that I don't have to waste time pressing buttons with my remote. .</t>
        </is>
      </c>
    </row>
    <row r="2445">
      <c r="A2445" t="n">
        <v>2717</v>
      </c>
      <c r="B2445" t="inlineStr">
        <is>
          <t>As a home occupant I want a doorbell that video records who is outside of my house  so that i can see who is outside before answering the door or when i am not home .</t>
        </is>
      </c>
    </row>
    <row r="2446">
      <c r="A2446" t="n">
        <v>2718</v>
      </c>
      <c r="B2446" t="inlineStr">
        <is>
          <t>As a home owner I want a touch-screen, voice-activated smart monitor so that I can watch videos, television or do other things right when I need to..</t>
        </is>
      </c>
    </row>
    <row r="2447">
      <c r="A2447" t="n">
        <v>2719</v>
      </c>
      <c r="B2447" t="inlineStr">
        <is>
          <t>As a home occupant I want my smart home to tell me if clothes are finished washing or drying.  so that I can take them out or transfer them. .</t>
        </is>
      </c>
    </row>
    <row r="2448">
      <c r="A2448" t="n">
        <v>2720</v>
      </c>
      <c r="B2448" t="inlineStr">
        <is>
          <t>As a home occupant I want my shower to automatically adjust the temperature.  so that I don't have to change the knob to my desired temperature. .</t>
        </is>
      </c>
    </row>
    <row r="2449">
      <c r="A2449" t="n">
        <v>2721</v>
      </c>
      <c r="B2449" t="inlineStr">
        <is>
          <t>As a home occupant I want an automatic sprinkler  so that when it has not rained in awhile the grass will stay green and watered.</t>
        </is>
      </c>
    </row>
    <row r="2450">
      <c r="A2450" t="n">
        <v>2722</v>
      </c>
      <c r="B2450" t="inlineStr">
        <is>
          <t>As a parent I want an alert on my phone when my child leaves the house  so that i can know when my child is leaving .</t>
        </is>
      </c>
    </row>
    <row r="2451">
      <c r="A2451" t="n">
        <v>2723</v>
      </c>
      <c r="B2451" t="inlineStr">
        <is>
          <t>As a movie buff I want my smart home to alert me to the new releases on Netflix which I add to a watch list each month so that I can catch the movies I've been waiting for.</t>
        </is>
      </c>
    </row>
    <row r="2452">
      <c r="A2452" t="n">
        <v>2724</v>
      </c>
      <c r="B2452" t="inlineStr">
        <is>
          <t>As a home occupant I want a cat house that automates feeding and give me updates through an app on my phone with webcam monitoring. so that I don't have to pay for a cat babysitter whenever I go on vacation. .</t>
        </is>
      </c>
    </row>
    <row r="2453">
      <c r="A2453" t="n">
        <v>2725</v>
      </c>
      <c r="B2453" t="inlineStr">
        <is>
          <t>As a home occupant I want automatic lights  so that i do not have to turn on the lights at night .</t>
        </is>
      </c>
    </row>
    <row r="2454">
      <c r="A2454" t="n">
        <v>2726</v>
      </c>
      <c r="B2454" t="inlineStr">
        <is>
          <t>As a home occupant I want automatic doors so that they require a finger print or voice command to open.</t>
        </is>
      </c>
    </row>
    <row r="2455">
      <c r="A2455" t="n">
        <v>2727</v>
      </c>
      <c r="B2455" t="inlineStr">
        <is>
          <t>As a home occupant I want my faucets to have automatic water filtration built in.  so that all the water that I utilize is fresh and free from pollutants. .</t>
        </is>
      </c>
    </row>
    <row r="2456">
      <c r="A2456" t="n">
        <v>2728</v>
      </c>
      <c r="B2456" t="inlineStr">
        <is>
          <t>As a pet owner I want a litterbox that alerts my phone when my cat has used it  so that i can clean it right away .</t>
        </is>
      </c>
    </row>
    <row r="2457">
      <c r="A2457" t="n">
        <v>2729</v>
      </c>
      <c r="B2457" t="inlineStr">
        <is>
          <t>As a home occupant I want my smart home to define words for me if I ask it to.  so that it is faster and easier to do. .</t>
        </is>
      </c>
    </row>
    <row r="2458">
      <c r="A2458" t="n">
        <v>2730</v>
      </c>
      <c r="B2458" t="inlineStr">
        <is>
          <t>As a home owner I want a smart gaming computer so that when I play resource-intensive games the computer adjusts itself to run them at maximum efficiency automatically..</t>
        </is>
      </c>
    </row>
    <row r="2459">
      <c r="A2459" t="n">
        <v>2731</v>
      </c>
      <c r="B2459" t="inlineStr">
        <is>
          <t>As a home occupant I want a robot that can prepare meals for me.  so that I don't have to waste time cooking. .</t>
        </is>
      </c>
    </row>
    <row r="2460">
      <c r="A2460" t="n">
        <v>2732</v>
      </c>
      <c r="B2460" t="inlineStr">
        <is>
          <t>As a home owner I want my smart home to adjust the water temperature in the shower by my input into my smart phone so that take comfortable showers .</t>
        </is>
      </c>
    </row>
    <row r="2461">
      <c r="A2461" t="n">
        <v>2733</v>
      </c>
      <c r="B2461" t="inlineStr">
        <is>
          <t>As a home occupant I want a radio that i can talk to to play specific artists  so that i do not have to use my smartphone to do this .</t>
        </is>
      </c>
    </row>
    <row r="2462">
      <c r="A2462" t="n">
        <v>2734</v>
      </c>
      <c r="B2462" t="inlineStr">
        <is>
          <t>As a home occupant I want automated sprinkler system so that when a fire breaks out in the home the sprinklers will activate and take care of everything.</t>
        </is>
      </c>
    </row>
    <row r="2463">
      <c r="A2463" t="n">
        <v>2735</v>
      </c>
      <c r="B2463" t="inlineStr">
        <is>
          <t>As a home occupant I want my fridge to tell me whenever food is about to be spoiled with cameras that detect expiration date.  so that I can keep a safe and clean refrigerator at all times. .</t>
        </is>
      </c>
    </row>
    <row r="2464">
      <c r="A2464" t="n">
        <v>2736</v>
      </c>
      <c r="B2464" t="inlineStr">
        <is>
          <t>As a home owner I want smart doors so that when I come home from shopping they sense my presence and open automatically..</t>
        </is>
      </c>
    </row>
    <row r="2465">
      <c r="A2465" t="n">
        <v>2737</v>
      </c>
      <c r="B2465" t="inlineStr">
        <is>
          <t>As a home occupant I want automatic locking doors at night so that i do not forget to lock the doors .</t>
        </is>
      </c>
    </row>
    <row r="2466">
      <c r="A2466" t="n">
        <v>2738</v>
      </c>
      <c r="B2466" t="inlineStr">
        <is>
          <t>As a home occupant I want sensors throughout the house so that I can input what I want to find and the sensors can track it for me.</t>
        </is>
      </c>
    </row>
    <row r="2467">
      <c r="A2467" t="n">
        <v>2739</v>
      </c>
      <c r="B2467" t="inlineStr">
        <is>
          <t>As a home occupant I want a smart vacuum  so that i do not have to clean .</t>
        </is>
      </c>
    </row>
    <row r="2468">
      <c r="A2468" t="n">
        <v>2740</v>
      </c>
      <c r="B2468" t="inlineStr">
        <is>
          <t>As a home occupant I want a machine that has wash/dry cycle in the same machine.  so that I don't have to take out my clothes to put from the washer to the dryer. .</t>
        </is>
      </c>
    </row>
    <row r="2469">
      <c r="A2469" t="n">
        <v>2741</v>
      </c>
      <c r="B2469" t="inlineStr">
        <is>
          <t>As a home owner I want a smart bathroom so that it cleans itself automatically when a pre-determined level of "dirtiness" is reached..</t>
        </is>
      </c>
    </row>
    <row r="2470">
      <c r="A2470" t="n">
        <v>2742</v>
      </c>
      <c r="B2470" t="inlineStr">
        <is>
          <t>As a car owner I want my smart home to start my car for me on cold mornings  so that the heat is ready to go when I get in the car to drive.</t>
        </is>
      </c>
    </row>
    <row r="2471">
      <c r="A2471" t="n">
        <v>2743</v>
      </c>
      <c r="B2471" t="inlineStr">
        <is>
          <t>As a cat parent I want Directional cat flap motion sensors so that I can tell when my cat has gone inside or outside of the house.</t>
        </is>
      </c>
    </row>
    <row r="2472">
      <c r="A2472" t="n">
        <v>2744</v>
      </c>
      <c r="B2472" t="inlineStr">
        <is>
          <t>As a home occupant I want a smart thermostat  so that the temperature can automatically be adjusted to save energy .</t>
        </is>
      </c>
    </row>
    <row r="2473">
      <c r="A2473" t="n">
        <v>2745</v>
      </c>
      <c r="B2473" t="inlineStr">
        <is>
          <t>As a home occupant I want smart shades so that they will control the amount of light coming in..</t>
        </is>
      </c>
    </row>
    <row r="2474">
      <c r="A2474" t="n">
        <v>2746</v>
      </c>
      <c r="B2474" t="inlineStr">
        <is>
          <t>As a home occupant I want air purifier  so that the air is always clean .</t>
        </is>
      </c>
    </row>
    <row r="2475">
      <c r="A2475" t="n">
        <v>2747</v>
      </c>
      <c r="B2475" t="inlineStr">
        <is>
          <t>As a home occupant I want the heater/AC to turn off when I leave and turn back on when I unlock the front door so that so that I can save energy..</t>
        </is>
      </c>
    </row>
    <row r="2476">
      <c r="A2476" t="n">
        <v>2748</v>
      </c>
      <c r="B2476" t="inlineStr">
        <is>
          <t>As a home occupant I want watcher sensitive television, so that it will know who is watching and adjust suggested programs and commercials shown accordingly.</t>
        </is>
      </c>
    </row>
    <row r="2477">
      <c r="A2477" t="n">
        <v>2749</v>
      </c>
      <c r="B2477" t="inlineStr">
        <is>
          <t>As a home occupant I want smart refrigerator  so that it would tell what food would need to be replaced .</t>
        </is>
      </c>
    </row>
    <row r="2478">
      <c r="A2478" t="n">
        <v>2750</v>
      </c>
      <c r="B2478" t="inlineStr">
        <is>
          <t>As a parent I want an alarm to go off if my children's windows open so that I can ensure that they are safe..</t>
        </is>
      </c>
    </row>
    <row r="2479">
      <c r="A2479" t="n">
        <v>2751</v>
      </c>
      <c r="B2479" t="inlineStr">
        <is>
          <t>As a home occupant I want a smart tv that can recognize it's viewer's face so that it will automatically go to a favorite selected channel for the main viewer watching.</t>
        </is>
      </c>
    </row>
    <row r="2480">
      <c r="A2480" t="n">
        <v>2752</v>
      </c>
      <c r="B2480" t="inlineStr">
        <is>
          <t>As a home owner I want my smart home to keep a running weekly calendar which gives me task reminders I put in at the start of each week so that I never forget a thing.</t>
        </is>
      </c>
    </row>
    <row r="2481">
      <c r="A2481" t="n">
        <v>2753</v>
      </c>
      <c r="B2481" t="inlineStr">
        <is>
          <t>As a home occupant I want my doors to unlock to police or firefighters so that we can be accessed in case of an emergency.</t>
        </is>
      </c>
    </row>
    <row r="2482">
      <c r="A2482" t="n">
        <v>2754</v>
      </c>
      <c r="B2482" t="inlineStr">
        <is>
          <t>As a home occupant I want outdoor sensors so that when an intruder or passersby go by it will automatically light up.</t>
        </is>
      </c>
    </row>
    <row r="2483">
      <c r="A2483" t="n">
        <v>2755</v>
      </c>
      <c r="B2483" t="inlineStr">
        <is>
          <t>As a home occupant I want smar lighting system, so that the mood will adjust based on the time of day and occupant's positions..</t>
        </is>
      </c>
    </row>
    <row r="2484">
      <c r="A2484" t="n">
        <v>2756</v>
      </c>
      <c r="B2484" t="inlineStr">
        <is>
          <t>As a home occupant I want my garage door to open when my car pulls into the driveway so that I don't need to keep track of a garage door opener.</t>
        </is>
      </c>
    </row>
    <row r="2485">
      <c r="A2485" t="n">
        <v>2757</v>
      </c>
      <c r="B2485" t="inlineStr">
        <is>
          <t>As a home occupant I want sensors activated at night by the doors and windows so that if an intruder breaks in when everyone is sleeping or gone an alarm will sound the police will be called to the house.</t>
        </is>
      </c>
    </row>
    <row r="2486">
      <c r="A2486" t="n">
        <v>2758</v>
      </c>
      <c r="B2486" t="inlineStr">
        <is>
          <t>As a home owner I want my smart home to monitor for mold and other airborne issues so that I can be alerted when the air in the home is unsafe.</t>
        </is>
      </c>
    </row>
    <row r="2487">
      <c r="A2487" t="n">
        <v>2759</v>
      </c>
      <c r="B2487" t="inlineStr">
        <is>
          <t>As a home occupant I want temperature sensing oven, so that the temperature of the food will be displayed..</t>
        </is>
      </c>
    </row>
    <row r="2488">
      <c r="A2488" t="n">
        <v>2760</v>
      </c>
      <c r="B2488" t="inlineStr">
        <is>
          <t>As a cat parent I want Kitchen counter top motion alarms so that A clapping sound will go off to inform my cat he is to get off of the counter immediately.  This will also alert me that he is being naughty again..</t>
        </is>
      </c>
    </row>
    <row r="2489">
      <c r="A2489" t="n">
        <v>2761</v>
      </c>
      <c r="B2489" t="inlineStr">
        <is>
          <t>As a home occupant I want the lights in my room to slowly come on when it is time to wake up so that I can be woken ambiently.</t>
        </is>
      </c>
    </row>
    <row r="2490">
      <c r="A2490" t="n">
        <v>2762</v>
      </c>
      <c r="B2490" t="inlineStr">
        <is>
          <t>As a home occupant I want lights and other electronics to be shut off after no movement for 30 minutes so that it will save electricity and prevent possible electrical bursts.</t>
        </is>
      </c>
    </row>
    <row r="2491">
      <c r="A2491" t="n">
        <v>2763</v>
      </c>
      <c r="B2491" t="inlineStr">
        <is>
          <t>As a home occupant I want secure doggy door, so that it will only unlock for my dogs..</t>
        </is>
      </c>
    </row>
    <row r="2492">
      <c r="A2492" t="n">
        <v>2764</v>
      </c>
      <c r="B2492" t="inlineStr">
        <is>
          <t>As a home occupant I want my blinds to close once it gets dark out and open when the sun comes up so that I can save myself from having to do it myself..</t>
        </is>
      </c>
    </row>
    <row r="2493">
      <c r="A2493" t="n">
        <v>2765</v>
      </c>
      <c r="B2493" t="inlineStr">
        <is>
          <t>As a parent I want my smart home to monitor my baby's breathing at night so that I can be alerted if my baby stops breathing.</t>
        </is>
      </c>
    </row>
    <row r="2494">
      <c r="A2494" t="n">
        <v>2766</v>
      </c>
      <c r="B2494" t="inlineStr">
        <is>
          <t>As a home occupant I want fragrance emitter in the bathrooms so that when it detects bad odor it will spray .</t>
        </is>
      </c>
    </row>
    <row r="2495">
      <c r="A2495" t="n">
        <v>2768</v>
      </c>
      <c r="B2495" t="inlineStr">
        <is>
          <t>As a home occupant I want smart roofing so that it will absorb or reflect the temperature of the outside air to keep the house comfortable..</t>
        </is>
      </c>
    </row>
    <row r="2496">
      <c r="A2496" t="n">
        <v>2769</v>
      </c>
      <c r="B2496" t="inlineStr">
        <is>
          <t>As a home occupant I want a smart driveway so that it will heat up to melt away any snow or ice..</t>
        </is>
      </c>
    </row>
    <row r="2497">
      <c r="A2497" t="n">
        <v>2770</v>
      </c>
      <c r="B2497" t="inlineStr">
        <is>
          <t>As a parent I want smart child sensor so that I will be alerted immediately if off-limits areas are accessed by children.</t>
        </is>
      </c>
    </row>
    <row r="2498">
      <c r="A2498" t="n">
        <v>2771</v>
      </c>
      <c r="B2498" t="inlineStr">
        <is>
          <t>As a home owner I want a smart water filtration and filling system so that I can have a constant supply of clean water to keep up with my hydration needs..</t>
        </is>
      </c>
    </row>
    <row r="2499">
      <c r="A2499" t="n">
        <v>2772</v>
      </c>
      <c r="B2499" t="inlineStr">
        <is>
          <t>As a cat parent I want Pantry shelf pressure sensors so that When there is less than three pounds of cat food or of any other items left on that shelf, I am alerted to it.  .</t>
        </is>
      </c>
    </row>
    <row r="2500">
      <c r="A2500" t="n">
        <v>2773</v>
      </c>
      <c r="B2500" t="inlineStr">
        <is>
          <t>As a home owner I want smart tennis court so that I can play and practice with an automated system since I am forever alone..</t>
        </is>
      </c>
    </row>
    <row r="2501">
      <c r="A2501" t="n">
        <v>2774</v>
      </c>
      <c r="B2501" t="inlineStr">
        <is>
          <t>As a home owner I want smart blinds so that I can have sunlight when it is available without needing to remember to open or close the blinds..</t>
        </is>
      </c>
    </row>
    <row r="2502">
      <c r="A2502" t="n">
        <v>2775</v>
      </c>
      <c r="B2502" t="inlineStr">
        <is>
          <t>As a home occupant I want smart night-light paths so that during the night, i can see where i'm going without turning on overhead lights..</t>
        </is>
      </c>
    </row>
    <row r="2503">
      <c r="A2503" t="n">
        <v>2776</v>
      </c>
      <c r="B2503" t="inlineStr">
        <is>
          <t>As a home occupant I want Water detectors embedded in the floor so that An alarm will go off if there is a water leak, aquarium mishap, a roof leak, a cat puddle, or any other liquid spilled on the floor anywhere in the house..</t>
        </is>
      </c>
    </row>
    <row r="2504">
      <c r="A2504" t="n">
        <v>2777</v>
      </c>
      <c r="B2504" t="inlineStr">
        <is>
          <t>As a home occupant I want smart pooper scooper so that it will automatically clean up what my dogs leave in the yard and either dispose of waste through plumbing or place into an airtight receptacle..</t>
        </is>
      </c>
    </row>
    <row r="2505">
      <c r="A2505" t="n">
        <v>2778</v>
      </c>
      <c r="B2505" t="inlineStr">
        <is>
          <t>As a rural home occupant I want Well water pump temperature and shutdown sensors so that I am immediately notified by alarms, both in-house and via cell phone, whenever my well pump has shut down or is running dry.  If it is running dry, i.e. the temperature has risen high enough to burn out the pump, it automatically turns the pump off.   .</t>
        </is>
      </c>
    </row>
    <row r="2506">
      <c r="A2506" t="n">
        <v>2779</v>
      </c>
      <c r="B2506" t="inlineStr">
        <is>
          <t>As a rural home occupant I want Chimney stack temperature and carbon sensors so that An alarm goes off whenever the stack temperature goes higher than 500 degrees Fahrenheit, and another alarm goes off if the carbon in the stack accumulates in a layer thick enough to cause a chimney fire..</t>
        </is>
      </c>
    </row>
    <row r="2507">
      <c r="A2507" t="n">
        <v>2780</v>
      </c>
      <c r="B2507" t="inlineStr">
        <is>
          <t>As a livestock parent I want Outdoor stock tank water level sensors so that I am automatically notified whenever the water level drops to less than 10 inches in the tank..</t>
        </is>
      </c>
    </row>
    <row r="2508">
      <c r="A2508" t="n">
        <v>2781</v>
      </c>
      <c r="B2508" t="inlineStr">
        <is>
          <t>As a pet owner I want a pet door to not open when any animal other than mine tries to enter it so that wild animals don't get in my house..</t>
        </is>
      </c>
    </row>
    <row r="2509">
      <c r="A2509" t="n">
        <v>2782</v>
      </c>
      <c r="B2509" t="inlineStr">
        <is>
          <t>As a rural home occupant I want Attic moisture detectors so that An alarm goes off if the moisture detectors sense any kind of roof leak..</t>
        </is>
      </c>
    </row>
    <row r="2510">
      <c r="A2510" t="n">
        <v>2783</v>
      </c>
      <c r="B2510" t="inlineStr">
        <is>
          <t>As a home occupant I want my washer and dryer to use only enough water and energy to wash and dry my clothes based on the zie of the load so that I can save water and energy..</t>
        </is>
      </c>
    </row>
    <row r="2511">
      <c r="A2511" t="n">
        <v>2784</v>
      </c>
      <c r="B2511" t="inlineStr">
        <is>
          <t>As a rural home occupant I want Propane tank level sensors so that When there is less than a week's worth of propane left in the tank, I am notified..</t>
        </is>
      </c>
    </row>
    <row r="2512">
      <c r="A2512" t="n">
        <v>2785</v>
      </c>
      <c r="B2512" t="inlineStr">
        <is>
          <t>As a home occupant I want to be alerted when my monthly energy usage exceed my normal monthly average so that I can monitor my energy usage..</t>
        </is>
      </c>
    </row>
    <row r="2513">
      <c r="A2513" t="n">
        <v>2786</v>
      </c>
      <c r="B2513" t="inlineStr">
        <is>
          <t>As a rural home occupant I want Propane line pressure sensors so that An alarm goes off if there is a sudden pressure loss in the propane line, indicative of a propane leak inside or outside the house..</t>
        </is>
      </c>
    </row>
    <row r="2514">
      <c r="A2514" t="n">
        <v>2787</v>
      </c>
      <c r="B2514" t="inlineStr">
        <is>
          <t>As a home occupant I want my fridge or freezer to automatically shut if I leave it open so that I save on energy and my food doesn't get spoiled..</t>
        </is>
      </c>
    </row>
    <row r="2515">
      <c r="A2515" t="n">
        <v>2788</v>
      </c>
      <c r="B2515" t="inlineStr">
        <is>
          <t>As a home occupant I want my shower to play music when I turn it on. so that my showers are more fun..</t>
        </is>
      </c>
    </row>
    <row r="2516">
      <c r="A2516" t="n">
        <v>2789</v>
      </c>
      <c r="B2516" t="inlineStr">
        <is>
          <t>As a home occupant I want my home to detect the weather and adjust the heating/AC as necessary. so that I save on energy costs..</t>
        </is>
      </c>
    </row>
    <row r="2517">
      <c r="A2517" t="n">
        <v>2790</v>
      </c>
      <c r="B2517" t="inlineStr">
        <is>
          <t>As a home occupant I want an oven synced with my smartphone so it preheats based on a recipe I have pulled up. so that cooking is easier and more efficient..</t>
        </is>
      </c>
    </row>
    <row r="2518">
      <c r="A2518" t="n">
        <v>2791</v>
      </c>
      <c r="B2518" t="inlineStr">
        <is>
          <t>As a home owner I want anti-fogging/de-fogging windows. so that So i can see outside when it is foggy or when it rains..</t>
        </is>
      </c>
    </row>
    <row r="2519">
      <c r="A2519" t="n">
        <v>2792</v>
      </c>
      <c r="B2519" t="inlineStr">
        <is>
          <t>As a home occupant I want my appliances to interface with each other. I want them to share information about what they're doing (probably based on a recipe on my cellphone) so that cooking can be more efficient..</t>
        </is>
      </c>
    </row>
    <row r="2520">
      <c r="A2520" t="n">
        <v>2793</v>
      </c>
      <c r="B2520" t="inlineStr">
        <is>
          <t>As a home occupant I want automatic shades to adjust based on the amount of sunlight hitting the home. so that it's not too bright and not too dark inside and I save energy..</t>
        </is>
      </c>
    </row>
    <row r="2521">
      <c r="A2521" t="n">
        <v>2794</v>
      </c>
      <c r="B2521" t="inlineStr">
        <is>
          <t>As a home occupant I want smart solar panels that adjust themselves. so that sunlight is collected more efficiently..</t>
        </is>
      </c>
    </row>
    <row r="2522">
      <c r="A2522" t="n">
        <v>2795</v>
      </c>
      <c r="B2522" t="inlineStr">
        <is>
          <t>As a home occupant I want surveillance system that alerts me via smartphone so that I can access the system even when I'm not home in case I need to alert the police..</t>
        </is>
      </c>
    </row>
    <row r="2523">
      <c r="A2523" t="n">
        <v>2796</v>
      </c>
      <c r="B2523" t="inlineStr">
        <is>
          <t>As a home owner I want smart mirrors that display relevant information when I step in front, such as weather, news, sports scores, etc. so that my day can start off better..</t>
        </is>
      </c>
    </row>
    <row r="2524">
      <c r="A2524" t="n">
        <v>2797</v>
      </c>
      <c r="B2524" t="inlineStr">
        <is>
          <t>As a home occupant I want rooms to accept voice commands when I enter to play videos/music/etc determined by my smartphone on whatever device is available in the room. so that I have an easier time accessing my media..</t>
        </is>
      </c>
    </row>
    <row r="2525">
      <c r="A2525" t="n">
        <v>2799</v>
      </c>
      <c r="B2525" t="inlineStr">
        <is>
          <t>As a pet owner I want my smart home to tell me when the water levels in my fish tanks fall more than 10% in an hour so that if my fish tank is leaking I'll be able to save my fish..</t>
        </is>
      </c>
    </row>
    <row r="2526">
      <c r="A2526" t="n">
        <v>2800</v>
      </c>
      <c r="B2526" t="inlineStr">
        <is>
          <t>As a pet owner I want a smart home to notify me when the temperature in my fish tanks rise or fall below 5 degrees to what I have set so that I can save my fish in case of a heating malfunction..</t>
        </is>
      </c>
    </row>
    <row r="2527">
      <c r="A2527" t="n">
        <v>2801</v>
      </c>
      <c r="B2527" t="inlineStr">
        <is>
          <t>As a pet owner I want my smart phone to be able to remind me when to do water changes in my tanks so that I can be reminded to do fish chores..</t>
        </is>
      </c>
    </row>
    <row r="2528">
      <c r="A2528" t="n">
        <v>2802</v>
      </c>
      <c r="B2528" t="inlineStr">
        <is>
          <t>As a home occupant I want my smart house to make me aware of when I am low on certain food in the house so that I can be aware of what I need to pick up soon at the grocery store. .</t>
        </is>
      </c>
    </row>
    <row r="2529">
      <c r="A2529" t="n">
        <v>2803</v>
      </c>
      <c r="B2529" t="inlineStr">
        <is>
          <t>As a home occupant I want my smart home to inform me when the temperature in my fridge/freezer drops 5 below it's set temp so that I can prevent food from spoiling if they break..</t>
        </is>
      </c>
    </row>
    <row r="2530">
      <c r="A2530" t="n">
        <v>2804</v>
      </c>
      <c r="B2530" t="inlineStr">
        <is>
          <t>As a pet owner I want my smart home to be able to dispense food for my pets when I am away so that I can be at work or on vacation without worrying about my pets.</t>
        </is>
      </c>
    </row>
    <row r="2531">
      <c r="A2531" t="n">
        <v>2805</v>
      </c>
      <c r="B2531" t="inlineStr">
        <is>
          <t>As a pet owner I want a smart home that turns the lights to my fish tanks on and off throughout the day so that I save energy and have my fish on a proper schedule.</t>
        </is>
      </c>
    </row>
    <row r="2532">
      <c r="A2532" t="n">
        <v>2806</v>
      </c>
      <c r="B2532" t="inlineStr">
        <is>
          <t>As a pet owner I want a smart home to be able to detect ammonia levels in my fish tanks so that if they get high, I can change the water to prevent ammonia from harming my fish..</t>
        </is>
      </c>
    </row>
    <row r="2533">
      <c r="A2533" t="n">
        <v>2807</v>
      </c>
      <c r="B2533" t="inlineStr">
        <is>
          <t>As a pet owner I want my smart home to tell me when the filters in my fish tanks stop working so that I can be made aware to save my fish..</t>
        </is>
      </c>
    </row>
    <row r="2534">
      <c r="A2534" t="n">
        <v>2808</v>
      </c>
      <c r="B2534" t="inlineStr">
        <is>
          <t>As a home occupant I want a smart home to remind me to take my vitamins and track when I have taken them so that I can be reminded to take my vitamins or ask if I've already taken it..</t>
        </is>
      </c>
    </row>
    <row r="2535">
      <c r="A2535" t="n">
        <v>2809</v>
      </c>
      <c r="B2535" t="inlineStr">
        <is>
          <t>As a parent of a child on the autism spectrum I want the ability to be alerted on my phone if any doors or windows are opened and then be able to set specific alarms to multiple people  so that my child cannot wander/elope (without having to lock him in the house with the alarm set).</t>
        </is>
      </c>
    </row>
    <row r="2536">
      <c r="A2536" t="n">
        <v>2810</v>
      </c>
      <c r="B2536" t="inlineStr">
        <is>
          <t>As a home owner I want the ability to fully control my electric/gas fireplace remotely (including turn on/off, heat setting, etc..) so that I can have alternative forms of heating available to me before I reach my home. .</t>
        </is>
      </c>
    </row>
    <row r="2537">
      <c r="A2537" t="n">
        <v>2811</v>
      </c>
      <c r="B2537" t="inlineStr">
        <is>
          <t>As a parent I want to be able to use the "find my iphone" type app to find important things like kids lovies/blankies etc.. so that I don't have to deal with meltdowns as a result of missing items and my kids.</t>
        </is>
      </c>
    </row>
    <row r="2538">
      <c r="A2538" t="n">
        <v>2812</v>
      </c>
      <c r="B2538" t="inlineStr">
        <is>
          <t>As a home owner I want a couch that is heated and air conditioned by remote control  so that I can reduce other sources of heat and cooling by making my immediate area more comfortable.</t>
        </is>
      </c>
    </row>
    <row r="2539">
      <c r="A2539" t="n">
        <v>2813</v>
      </c>
      <c r="B2539" t="inlineStr">
        <is>
          <t>As a parent I want a refridgerator that has a section that locks and unlocks via remote so that I can keep certain snacks and special items (medicine/wine/etc) away from the kids (and my husband).</t>
        </is>
      </c>
    </row>
    <row r="2540">
      <c r="A2540" t="n">
        <v>2814</v>
      </c>
      <c r="B2540" t="inlineStr">
        <is>
          <t>As a cook/chef I want a kitchen that will help me find recipes and talk me through making them so that I can make healthy/fun/interesting meals on the fly without thinking.</t>
        </is>
      </c>
    </row>
    <row r="2541">
      <c r="A2541" t="n">
        <v>2815</v>
      </c>
      <c r="B2541" t="inlineStr">
        <is>
          <t>As a parent/cook/chef/shopper I want a refridgerator/cabinets that automatically knows what we have in stock and how much of it so that the process of deciding on recipes and building shopping lists can be automated.</t>
        </is>
      </c>
    </row>
    <row r="2542">
      <c r="A2542" t="n">
        <v>2816</v>
      </c>
      <c r="B2542" t="inlineStr">
        <is>
          <t>As a parent I want a place to store medicine and have the dispensing be done automatically based on the prescription so that we avoid mixing up prescriptions and we know they are safely stored..</t>
        </is>
      </c>
    </row>
    <row r="2543">
      <c r="A2543" t="n">
        <v>2817</v>
      </c>
      <c r="B2543" t="inlineStr">
        <is>
          <t>As a parent I want a robot that automatically picks up stray clothes/toys/items so that my house is always clean and I don't have to keep up.</t>
        </is>
      </c>
    </row>
    <row r="2544">
      <c r="A2544" t="n">
        <v>2818</v>
      </c>
      <c r="B2544" t="inlineStr">
        <is>
          <t>As a car owner I want a garage that monitors my vehicles needs  so that so that I know what my vehicle needs and if there are any problems potentially occurring..</t>
        </is>
      </c>
    </row>
    <row r="2545">
      <c r="A2545" t="n">
        <v>2826</v>
      </c>
      <c r="B2545" t="inlineStr">
        <is>
          <t>As a occupant I want automatic coffee machine so that coffee is ready when I wake up and the machine doesn't have to stay on for longer than necessary.</t>
        </is>
      </c>
    </row>
    <row r="2546">
      <c r="A2546" t="n">
        <v>2829</v>
      </c>
      <c r="B2546" t="inlineStr">
        <is>
          <t>As a home occupant I want my home to talk to me ask me questions so that I can tell it what I want it to do.</t>
        </is>
      </c>
    </row>
    <row r="2547">
      <c r="A2547" t="n">
        <v>2830</v>
      </c>
      <c r="B2547" t="inlineStr">
        <is>
          <t>As a occupant I want remote power outtage alert so that if too much time passes before electrical services are restored I can make necessary arrangements (spoiled food, pets).</t>
        </is>
      </c>
    </row>
    <row r="2548">
      <c r="A2548" t="n">
        <v>2832</v>
      </c>
      <c r="B2548" t="inlineStr">
        <is>
          <t>As a home occupant I want beer coming out of my sink so that I can drink.</t>
        </is>
      </c>
    </row>
    <row r="2549">
      <c r="A2549" t="n">
        <v>2833</v>
      </c>
      <c r="B2549" t="inlineStr">
        <is>
          <t>As a owner I want digital readout of power usage for week, month, year so that I can monitor my power consumption and estimate my costs.</t>
        </is>
      </c>
    </row>
    <row r="2550">
      <c r="A2550" t="n">
        <v>2834</v>
      </c>
      <c r="B2550" t="inlineStr">
        <is>
          <t>As a home occupant I want a self mowed lawn so that i can relax on sundays.</t>
        </is>
      </c>
    </row>
    <row r="2551">
      <c r="A2551" t="n">
        <v>2835</v>
      </c>
      <c r="B2551" t="inlineStr">
        <is>
          <t>As a disabled person I want voice activated system to notify EMS personnel so that if I become unable to access a phone I can yell a command to call emergency services.</t>
        </is>
      </c>
    </row>
    <row r="2552">
      <c r="A2552" t="n">
        <v>2836</v>
      </c>
      <c r="B2552" t="inlineStr">
        <is>
          <t>As a home occupant I want blanket warmer so that it heats up automatically when it is touched.</t>
        </is>
      </c>
    </row>
    <row r="2553">
      <c r="A2553" t="n">
        <v>2837</v>
      </c>
      <c r="B2553" t="inlineStr">
        <is>
          <t>As a home occupant I want my house to wake me up in the morning so that i can go to work.</t>
        </is>
      </c>
    </row>
    <row r="2554">
      <c r="A2554" t="n">
        <v>2838</v>
      </c>
      <c r="B2554" t="inlineStr">
        <is>
          <t>As a home occupant I want the stove top burners and oven to automatically turn off so that that unwatched  pots will not burn.</t>
        </is>
      </c>
    </row>
    <row r="2555">
      <c r="A2555" t="n">
        <v>2839</v>
      </c>
      <c r="B2555" t="inlineStr">
        <is>
          <t>As a pet owner I want Sensors to detect when my dog is at the backdoor so that So I'll know when she needs to be let out.</t>
        </is>
      </c>
    </row>
    <row r="2556">
      <c r="A2556" t="n">
        <v>2840</v>
      </c>
      <c r="B2556" t="inlineStr">
        <is>
          <t>As a pet owner I want an automatic food and water dispenser so that my pets can be fed periodically throughout the day .</t>
        </is>
      </c>
    </row>
    <row r="2557">
      <c r="A2557" t="n">
        <v>2841</v>
      </c>
      <c r="B2557" t="inlineStr">
        <is>
          <t>As a home occupant I want music playing in my shower so that i can dance in the shower .</t>
        </is>
      </c>
    </row>
    <row r="2558">
      <c r="A2558" t="n">
        <v>2842</v>
      </c>
      <c r="B2558" t="inlineStr">
        <is>
          <t>As a mother I want doors that lock automatically so that my child can not leave the house if I step out of the room..</t>
        </is>
      </c>
    </row>
    <row r="2559">
      <c r="A2559" t="n">
        <v>2843</v>
      </c>
      <c r="B2559" t="inlineStr">
        <is>
          <t>As a home cook I want the oven to set the temp if I am preparing a meal from an app or using smart device. so that I will not forget and it will be ready when I get all the ingredients together..</t>
        </is>
      </c>
    </row>
    <row r="2560">
      <c r="A2560" t="n">
        <v>2844</v>
      </c>
      <c r="B2560" t="inlineStr">
        <is>
          <t>As a home occupant I want nature sounds playing as I sleep so that i can sleep better.</t>
        </is>
      </c>
    </row>
    <row r="2561">
      <c r="A2561" t="n">
        <v>2845</v>
      </c>
      <c r="B2561" t="inlineStr">
        <is>
          <t>As a homebound person I want a monitor to notify EMS if I don't move for more than a day so that if I die or become unconcious I can be removed or have help sent.</t>
        </is>
      </c>
    </row>
    <row r="2562">
      <c r="A2562" t="n">
        <v>2846</v>
      </c>
      <c r="B2562" t="inlineStr">
        <is>
          <t>As a home occupant I want I want my toilet to alert me when it has been more than 24 hours since my last bowel movement. so that I can adjust my diet to contain more fiber..</t>
        </is>
      </c>
    </row>
    <row r="2563">
      <c r="A2563" t="n">
        <v>2847</v>
      </c>
      <c r="B2563" t="inlineStr">
        <is>
          <t>As a pet owner I want an automated pet door with cameras and sensors so that I can let my dog out to use the bathroom when I am not at home.</t>
        </is>
      </c>
    </row>
    <row r="2564">
      <c r="A2564" t="n">
        <v>2848</v>
      </c>
      <c r="B2564" t="inlineStr">
        <is>
          <t>As a mother I want auto-locking cabinets so that my child can not get into dangerous items.</t>
        </is>
      </c>
    </row>
    <row r="2565">
      <c r="A2565" t="n">
        <v>2849</v>
      </c>
      <c r="B2565" t="inlineStr">
        <is>
          <t>As a home occupant I want to take phone calls just speaking in my home so that i don't need my phone.</t>
        </is>
      </c>
    </row>
    <row r="2566">
      <c r="A2566" t="n">
        <v>2850</v>
      </c>
      <c r="B2566" t="inlineStr">
        <is>
          <t>As a home occupant I want the robot vacuum cleaner to return to its charging station when needed so that the vacuum can run all day long when we are not home.</t>
        </is>
      </c>
    </row>
    <row r="2567">
      <c r="A2567" t="n">
        <v>2851</v>
      </c>
      <c r="B2567" t="inlineStr">
        <is>
          <t>As a occupant I want automatic lighting so that I can save energy by having lights turned off when not in use and have lights turn on when entering rooms.</t>
        </is>
      </c>
    </row>
    <row r="2568">
      <c r="A2568" t="n">
        <v>2852</v>
      </c>
      <c r="B2568" t="inlineStr">
        <is>
          <t>As a home occupant I want to send txt using my voice in my home so that i don't have to txt on my phone.</t>
        </is>
      </c>
    </row>
    <row r="2569">
      <c r="A2569" t="n">
        <v>2853</v>
      </c>
      <c r="B2569" t="inlineStr">
        <is>
          <t>As a home owner I want a self-adjusting thermostat so that I can save on electricity bills.</t>
        </is>
      </c>
    </row>
    <row r="2570">
      <c r="A2570" t="n">
        <v>2854</v>
      </c>
      <c r="B2570" t="inlineStr">
        <is>
          <t>As a occupant I want severe weather alarm so that I can be warned of dangerous weather approaching my location.</t>
        </is>
      </c>
    </row>
    <row r="2571">
      <c r="A2571" t="n">
        <v>2855</v>
      </c>
      <c r="B2571" t="inlineStr">
        <is>
          <t>As a home owner I want the dishwasher to start when energy consumpiton is low. so that I can save on my energy bill.</t>
        </is>
      </c>
    </row>
    <row r="2572">
      <c r="A2572" t="n">
        <v>2856</v>
      </c>
      <c r="B2572" t="inlineStr">
        <is>
          <t>As a mother I want a device to send me a text message when my child's phone crosses the threshold of our front door so that I can know my child made it home safely.</t>
        </is>
      </c>
    </row>
    <row r="2573">
      <c r="A2573" t="n">
        <v>2857</v>
      </c>
      <c r="B2573" t="inlineStr">
        <is>
          <t>As a home occupant I want certain scents in my shower so that I can breathe peppermint if I have a headache ect .</t>
        </is>
      </c>
    </row>
    <row r="2574">
      <c r="A2574" t="n">
        <v>2858</v>
      </c>
      <c r="B2574" t="inlineStr">
        <is>
          <t>As a parent I want My smart home to alert me when the children are not watching the proper television programs. so that I can supervise my children without needing to actually spend time with them..</t>
        </is>
      </c>
    </row>
    <row r="2575">
      <c r="A2575" t="n">
        <v>2860</v>
      </c>
      <c r="B2575" t="inlineStr">
        <is>
          <t>As a home owner I want a device to send me a text message if I lock the door and left the coffee pot on so that I don't start a fire..</t>
        </is>
      </c>
    </row>
    <row r="2576">
      <c r="A2576" t="n">
        <v>2861</v>
      </c>
      <c r="B2576" t="inlineStr">
        <is>
          <t>As a occupant I want a smart thermostat so that I can be alerted when a filter change is due, adjust the temperature remotely..</t>
        </is>
      </c>
    </row>
    <row r="2577">
      <c r="A2577" t="n">
        <v>2862</v>
      </c>
      <c r="B2577" t="inlineStr">
        <is>
          <t>As a home occupant I want increments of monthly electricity used to be texted to my phone so that I can budget appropriately.</t>
        </is>
      </c>
    </row>
    <row r="2578">
      <c r="A2578" t="n">
        <v>2863</v>
      </c>
      <c r="B2578" t="inlineStr">
        <is>
          <t>As a home owner I want the temperature of the water to raise and lower as needed troughout the day so that I am not always heating water that isn't being used.</t>
        </is>
      </c>
    </row>
    <row r="2579">
      <c r="A2579" t="n">
        <v>2864</v>
      </c>
      <c r="B2579" t="inlineStr">
        <is>
          <t>As a home occupant I want a robot to make me meals so that I don't have to cook my own.</t>
        </is>
      </c>
    </row>
    <row r="2580">
      <c r="A2580" t="n">
        <v>2865</v>
      </c>
      <c r="B2580" t="inlineStr">
        <is>
          <t>As a home occupant I want sensors that will detect drafts  so that so I'll know when maintenance needs to occur on windows and doors.</t>
        </is>
      </c>
    </row>
    <row r="2581">
      <c r="A2581" t="n">
        <v>2866</v>
      </c>
      <c r="B2581" t="inlineStr">
        <is>
          <t>As a occupant I want a central data storage drive/server so that I can backup my data, access music and movies, access books via wifi or hardline.</t>
        </is>
      </c>
    </row>
    <row r="2582">
      <c r="A2582" t="n">
        <v>2868</v>
      </c>
      <c r="B2582" t="inlineStr">
        <is>
          <t>As a home owner I want an app on my smart phone to control my stereo system so that I can turn it on/off or change stations/tracks if I'm in a different room..</t>
        </is>
      </c>
    </row>
    <row r="2583">
      <c r="A2583" t="n">
        <v>2869</v>
      </c>
      <c r="B2583" t="inlineStr">
        <is>
          <t>As a home occupant I want My coffee freshly ground and brewed every morning before I wake up. so that I can save time..</t>
        </is>
      </c>
    </row>
    <row r="2584">
      <c r="A2584" t="n">
        <v>2870</v>
      </c>
      <c r="B2584" t="inlineStr">
        <is>
          <t>As a home owner I want The temperature in each room to be monitored, if room is rarely used, keep it at a lower temp, and vice versa so that I am not paying to heat a room that is rarely used..</t>
        </is>
      </c>
    </row>
    <row r="2585">
      <c r="A2585" t="n">
        <v>2871</v>
      </c>
      <c r="B2585" t="inlineStr">
        <is>
          <t>As a home occupant I want my smart home to let me know when the dog uses the doggy door  so that I can keep track of the pets whereabouts.</t>
        </is>
      </c>
    </row>
    <row r="2586">
      <c r="A2586" t="n">
        <v>2872</v>
      </c>
      <c r="B2586" t="inlineStr">
        <is>
          <t>As a parent I want My smart home to read stories to my children at bedtime. so that It will save me time..</t>
        </is>
      </c>
    </row>
    <row r="2587">
      <c r="A2587" t="n">
        <v>2873</v>
      </c>
      <c r="B2587" t="inlineStr">
        <is>
          <t>As a nanny I want a camera/alarm at the back door to alert me via sound and/or text message if the back door has been opened and left open so that small children in my care can not leave the house and wander near the pool.</t>
        </is>
      </c>
    </row>
    <row r="2588">
      <c r="A2588" t="n">
        <v>2874</v>
      </c>
      <c r="B2588" t="inlineStr">
        <is>
          <t>As a home occupant I want my smart home to let me know if any faucets or toilets are left running so that I can conserve water.</t>
        </is>
      </c>
    </row>
    <row r="2589">
      <c r="A2589" t="n">
        <v>2875</v>
      </c>
      <c r="B2589" t="inlineStr">
        <is>
          <t>As a caregiver I want an appliance energy warning system so that I don't overload a circuit and have the electricity shut off..</t>
        </is>
      </c>
    </row>
    <row r="2590">
      <c r="A2590" t="n">
        <v>2876</v>
      </c>
      <c r="B2590" t="inlineStr">
        <is>
          <t>As a home occupant I want sensors that will detect stress on the foundation so that I'll know when drainage/moisture around the foundation needs to be adjusted (big problem in Texas).</t>
        </is>
      </c>
    </row>
    <row r="2591">
      <c r="A2591" t="n">
        <v>2877</v>
      </c>
      <c r="B2591" t="inlineStr">
        <is>
          <t>As a gun owner I want a self-locking/code-locked cabinet so that my guns are kept safe from small children/other people..</t>
        </is>
      </c>
    </row>
    <row r="2592">
      <c r="A2592" t="n">
        <v>2878</v>
      </c>
      <c r="B2592" t="inlineStr">
        <is>
          <t>As a pc user I want my pc to alert me when any of the major systems in the home fail. so that I know the moment when something fails. A hot water tank failure is critical in my opinion to know exactly when it fails..</t>
        </is>
      </c>
    </row>
    <row r="2593">
      <c r="A2593" t="n">
        <v>2879</v>
      </c>
      <c r="B2593" t="inlineStr">
        <is>
          <t>As a parent I want my smart home to let me know when the children leave the yard so that I can keep track of their whereabouts.</t>
        </is>
      </c>
    </row>
    <row r="2594">
      <c r="A2594" t="n">
        <v>2880</v>
      </c>
      <c r="B2594" t="inlineStr">
        <is>
          <t>As a parent I want To have my children surveilled  when they go to the bathroom'. so that I know that they wipe properly and wash their hands properly;.</t>
        </is>
      </c>
    </row>
    <row r="2595">
      <c r="A2595" t="n">
        <v>2881</v>
      </c>
      <c r="B2595" t="inlineStr">
        <is>
          <t>As a home occupant I want my coffee making to become automatic, adjusting to my needs  so that coffee will always be ready at the times I expect it to be.</t>
        </is>
      </c>
    </row>
    <row r="2596">
      <c r="A2596" t="n">
        <v>2882</v>
      </c>
      <c r="B2596" t="inlineStr">
        <is>
          <t>As a home occupant I want sensors that will detect termites so that I'll know when to call the exterminator before the insects can do damage.</t>
        </is>
      </c>
    </row>
    <row r="2597">
      <c r="A2597" t="n">
        <v>2883</v>
      </c>
      <c r="B2597" t="inlineStr">
        <is>
          <t>As a home owner I want heat/weather sensors in my yard so that the sprinklers will know whether the lawn needs to be watered or not, thus saving on water if it will rain or be too cold..</t>
        </is>
      </c>
    </row>
    <row r="2598">
      <c r="A2598" t="n">
        <v>2884</v>
      </c>
      <c r="B2598" t="inlineStr">
        <is>
          <t>As a parent I want to be alerted when a toddler attempts to enter an area that I have assigned them to not be in. so that the child will not interact with harmful items or devices.</t>
        </is>
      </c>
    </row>
    <row r="2599">
      <c r="A2599" t="n">
        <v>2885</v>
      </c>
      <c r="B2599" t="inlineStr">
        <is>
          <t>As a home owner I want my smart home to let me know if it senses anyone outside the perimeter of the house after dark so that I can protect my family from a break-in.</t>
        </is>
      </c>
    </row>
    <row r="2600">
      <c r="A2600" t="n">
        <v>2886</v>
      </c>
      <c r="B2600" t="inlineStr">
        <is>
          <t>As a home occupant I want my refrigerator to monitor the food content and place orders with local delivery services so that I am always stocked up on the things I use most.</t>
        </is>
      </c>
    </row>
    <row r="2601">
      <c r="A2601" t="n">
        <v>2887</v>
      </c>
      <c r="B2601" t="inlineStr">
        <is>
          <t>As a home occupant I want automated lock system so that the doors and windows lock as I go to bed..</t>
        </is>
      </c>
    </row>
    <row r="2602">
      <c r="A2602" t="n">
        <v>2888</v>
      </c>
      <c r="B2602" t="inlineStr">
        <is>
          <t>As a as a home occupant I want sensors that will detect rodent activity so that I'll know when varmint control measures need to be taken.</t>
        </is>
      </c>
    </row>
    <row r="2603">
      <c r="A2603" t="n">
        <v>2889</v>
      </c>
      <c r="B2603" t="inlineStr">
        <is>
          <t>As a parent I want My smart home to record all of my childre's conversations when they think they are alone with their friends. so that I know what they are up to..</t>
        </is>
      </c>
    </row>
    <row r="2604">
      <c r="A2604" t="n">
        <v>2890</v>
      </c>
      <c r="B2604" t="inlineStr">
        <is>
          <t>As a pet owner I want a smart fence that auto-closes and locks so that my dog does not accidentally escape from my yard.</t>
        </is>
      </c>
    </row>
    <row r="2605">
      <c r="A2605" t="n">
        <v>2891</v>
      </c>
      <c r="B2605" t="inlineStr">
        <is>
          <t>As a home occupant I want my thermostat to automatically adjust itself based on real-time weather updates so that my house can be more efficient with cooling and heating.</t>
        </is>
      </c>
    </row>
    <row r="2606">
      <c r="A2606" t="n">
        <v>2892</v>
      </c>
      <c r="B2606" t="inlineStr">
        <is>
          <t>As a parent I want my smart home to let me know at night if my child leaves his bedroom so that I can monitor my child's nighttime movements.</t>
        </is>
      </c>
    </row>
    <row r="2607">
      <c r="A2607" t="n">
        <v>2893</v>
      </c>
      <c r="B2607" t="inlineStr">
        <is>
          <t>As a home owner I want the lights in a room to power on and off the moment someone enters or leaves a room. so that I can save money on my power bill..</t>
        </is>
      </c>
    </row>
    <row r="2608">
      <c r="A2608" t="n">
        <v>2894</v>
      </c>
      <c r="B2608" t="inlineStr">
        <is>
          <t>As a home occupant I want a smarter air conditioning and heating system so that MY temperature is monitored, and not necessarily just the room I'm in..</t>
        </is>
      </c>
    </row>
    <row r="2609">
      <c r="A2609" t="n">
        <v>2895</v>
      </c>
      <c r="B2609" t="inlineStr">
        <is>
          <t>As a home occupant I want my oven to calculate the best cook times for various foods so that my meals can always be cooked properly and healthily .</t>
        </is>
      </c>
    </row>
    <row r="2610">
      <c r="A2610" t="n">
        <v>2896</v>
      </c>
      <c r="B2610" t="inlineStr">
        <is>
          <t>As a wife I want My smart home to make sure my husband is not watching pornography. If he is caught, I want an alarm to go off. so that I know if he's being good..</t>
        </is>
      </c>
    </row>
    <row r="2611">
      <c r="A2611" t="n">
        <v>2897</v>
      </c>
      <c r="B2611" t="inlineStr">
        <is>
          <t>As a home occupant I want a smart water heater  so that it will alert me when it needs maintenance and also adjust water temperature for times when the house is empty.</t>
        </is>
      </c>
    </row>
    <row r="2612">
      <c r="A2612" t="n">
        <v>2898</v>
      </c>
      <c r="B2612" t="inlineStr">
        <is>
          <t>As a home occupant I want light dimmer so that the lights emit a sunlight glow during the day and a calm blue at night.</t>
        </is>
      </c>
    </row>
    <row r="2613">
      <c r="A2613" t="n">
        <v>2899</v>
      </c>
      <c r="B2613" t="inlineStr">
        <is>
          <t>As a home occupant I want a monitor that eliminates unwanted insects so that bugs stay out of my home.</t>
        </is>
      </c>
    </row>
    <row r="2614">
      <c r="A2614" t="n">
        <v>2900</v>
      </c>
      <c r="B2614" t="inlineStr">
        <is>
          <t>As a home owner I want the washing machine to automaticly detect the amount of clothes inside and dispense detergent, softener and water acordingly. so that I will save on water useage and money on over using laundry supplies..</t>
        </is>
      </c>
    </row>
    <row r="2615">
      <c r="A2615" t="n">
        <v>2901</v>
      </c>
      <c r="B2615" t="inlineStr">
        <is>
          <t>As a home occupant I want automatic power controller so that to turn off all electronics when I leave the house.</t>
        </is>
      </c>
    </row>
    <row r="2616">
      <c r="A2616" t="n">
        <v>2902</v>
      </c>
      <c r="B2616" t="inlineStr">
        <is>
          <t>As a human being I want something that automatically refills the toilet paper in my bathroom so that I don't get stuck without a roll..</t>
        </is>
      </c>
    </row>
    <row r="2617">
      <c r="A2617" t="n">
        <v>2903</v>
      </c>
      <c r="B2617" t="inlineStr">
        <is>
          <t>As a home occupant I want a smart clothes dryer so that it will shut off when the clothes are dry, not when the timer goes off.</t>
        </is>
      </c>
    </row>
    <row r="2618">
      <c r="A2618" t="n">
        <v>2904</v>
      </c>
      <c r="B2618" t="inlineStr">
        <is>
          <t>As a husband I want To have a camera on my wife at all times, especially in the bathroom. so that I can make sure she isn't doing something I disapprove of..</t>
        </is>
      </c>
    </row>
    <row r="2619">
      <c r="A2619" t="n">
        <v>2905</v>
      </c>
      <c r="B2619" t="inlineStr">
        <is>
          <t>As a home occupant I want my smart home to let me know if I have exceeded my monthly water allotment so that I can conserve water and save money.</t>
        </is>
      </c>
    </row>
    <row r="2620">
      <c r="A2620" t="n">
        <v>2906</v>
      </c>
      <c r="B2620" t="inlineStr">
        <is>
          <t>As a home occupant I want smart alarm clock so that it always has the right time and has simple buttons.</t>
        </is>
      </c>
    </row>
    <row r="2621">
      <c r="A2621" t="n">
        <v>2907</v>
      </c>
      <c r="B2621" t="inlineStr">
        <is>
          <t>As a home occupant I want my smart home to alert me if the children are using the internet when they are supposed to be asleep so that I can ensure that my children have the proper amount of sleep.</t>
        </is>
      </c>
    </row>
    <row r="2622">
      <c r="A2622" t="n">
        <v>2908</v>
      </c>
      <c r="B2622" t="inlineStr">
        <is>
          <t>As a home occupant I want My smart home to alert me when anyone is within 29 feet of my house. so that I will not have any burglars or unwanted visitors..</t>
        </is>
      </c>
    </row>
    <row r="2623">
      <c r="A2623" t="n">
        <v>2909</v>
      </c>
      <c r="B2623" t="inlineStr">
        <is>
          <t>As a home owner I want my smart home to alert me whenever anybody comes within five feet of my house or with seven feet of any window or door so that I can prepare appropriately for any guest or potential intruder who may want to enter my home.</t>
        </is>
      </c>
    </row>
    <row r="2624">
      <c r="A2624" t="n">
        <v>2910</v>
      </c>
      <c r="B2624" t="inlineStr">
        <is>
          <t>As a home occupant I want an automated sprinkler system so that that will water only when the soil needs it, and only in the places where the soil needs it.</t>
        </is>
      </c>
    </row>
    <row r="2625">
      <c r="A2625" t="n">
        <v>2911</v>
      </c>
      <c r="B2625" t="inlineStr">
        <is>
          <t>As a home owner I want my cothes dryer to send a signal to my phone when it is finished, and be able to turn it on if I have not unloaded it. so that I do not get too many wrinkles in my clothes..</t>
        </is>
      </c>
    </row>
    <row r="2626">
      <c r="A2626" t="n">
        <v>2912</v>
      </c>
      <c r="B2626" t="inlineStr">
        <is>
          <t>As a pet owner I want an automated door that recognizes only my cat so that only MY cat, and no other animals, can get in whenever she wants..</t>
        </is>
      </c>
    </row>
    <row r="2627">
      <c r="A2627" t="n">
        <v>2913</v>
      </c>
      <c r="B2627" t="inlineStr">
        <is>
          <t>As a home occupant I want entertainment selector so that I won't spend a hour trying to figure what to do next.</t>
        </is>
      </c>
    </row>
    <row r="2628">
      <c r="A2628" t="n">
        <v>2914</v>
      </c>
      <c r="B2628" t="inlineStr">
        <is>
          <t>As a home occupant I want A bidet in every bathroom and an alert if someone has a bowel movement without using it thoroughly. so that I am sure everyone has a clean buttocks area..</t>
        </is>
      </c>
    </row>
    <row r="2629">
      <c r="A2629" t="n">
        <v>2915</v>
      </c>
      <c r="B2629" t="inlineStr">
        <is>
          <t>As a home occupant I want a smart chair (recliner) that will wake me when I go to sleep so that I'll get up and go to bed when it's time.</t>
        </is>
      </c>
    </row>
    <row r="2630">
      <c r="A2630" t="n">
        <v>2916</v>
      </c>
      <c r="B2630" t="inlineStr">
        <is>
          <t>As a grocery shopper I want a monitor that tells me when I'm running low on certain foods so that I can shop for them before I run out..</t>
        </is>
      </c>
    </row>
    <row r="2631">
      <c r="A2631" t="n">
        <v>2917</v>
      </c>
      <c r="B2631" t="inlineStr">
        <is>
          <t>As a parent I want my smart home to notify me at what time my child returns home  so that I can know whether my child has observed my curfew rules.</t>
        </is>
      </c>
    </row>
    <row r="2632">
      <c r="A2632" t="n">
        <v>2918</v>
      </c>
      <c r="B2632" t="inlineStr">
        <is>
          <t>As a home owner I want the lighting to automaticly adjust for the time of day, dimmer in the day and brighter in the evening so that I am not wasting energy using the full wattage of a light bulb when it is not necessary..</t>
        </is>
      </c>
    </row>
    <row r="2633">
      <c r="A2633" t="n">
        <v>2919</v>
      </c>
      <c r="B2633" t="inlineStr">
        <is>
          <t>As a home occupant I want heating or cooling fan so that it can keep the perfect temperture in a small room.</t>
        </is>
      </c>
    </row>
    <row r="2634">
      <c r="A2634" t="n">
        <v>2920</v>
      </c>
      <c r="B2634" t="inlineStr">
        <is>
          <t>As a home owner I want my smart home to advise me regarding the daily amount of heat lost through windows and doors during cold weather months so that I can make necessary adjustments with insulation in order to conserve energy.</t>
        </is>
      </c>
    </row>
    <row r="2635">
      <c r="A2635" t="n">
        <v>2921</v>
      </c>
      <c r="B2635" t="inlineStr">
        <is>
          <t>As a home occupant I want mobile overhead celing lights so that it can provide ample light wherever I am.</t>
        </is>
      </c>
    </row>
    <row r="2636">
      <c r="A2636" t="n">
        <v>2922</v>
      </c>
      <c r="B2636" t="inlineStr">
        <is>
          <t>As a parent I want my security system to update me when there is movement within the home so that I can check on my children when I am not there.</t>
        </is>
      </c>
    </row>
    <row r="2637">
      <c r="A2637" t="n">
        <v>2923</v>
      </c>
      <c r="B2637" t="inlineStr">
        <is>
          <t>As a parent I want my smart home to remind my kids to do their homework so that they do their homework before watching tv or going on the internet..</t>
        </is>
      </c>
    </row>
    <row r="2638">
      <c r="A2638" t="n">
        <v>2924</v>
      </c>
      <c r="B2638" t="inlineStr">
        <is>
          <t>As a home occupant I want my freezer to keep track of when items are placed in them and keep me updated  so that I never forget about products that need to be used.</t>
        </is>
      </c>
    </row>
    <row r="2639">
      <c r="A2639" t="n">
        <v>2925</v>
      </c>
      <c r="B2639" t="inlineStr">
        <is>
          <t>As a home occupant I want my smarthome to move my trash to the curb on trash day so that I don't wake up early that morning and run after the garbage trucks..</t>
        </is>
      </c>
    </row>
    <row r="2640">
      <c r="A2640" t="n">
        <v>2926</v>
      </c>
      <c r="B2640" t="inlineStr">
        <is>
          <t>As a home occupant I want shower temperture controller so that the water will be perfect everytime.</t>
        </is>
      </c>
    </row>
    <row r="2641">
      <c r="A2641" t="n">
        <v>2927</v>
      </c>
      <c r="B2641" t="inlineStr">
        <is>
          <t>As a home occupant I want my blinds to automatically adjust themselves dependent on sunlight  so that we get the most of natural light .</t>
        </is>
      </c>
    </row>
    <row r="2642">
      <c r="A2642" t="n">
        <v>2928</v>
      </c>
      <c r="B2642" t="inlineStr">
        <is>
          <t>As a home owner I want my smart home to put out small fires so that they don't become larger fires that get out of control.</t>
        </is>
      </c>
    </row>
    <row r="2643">
      <c r="A2643" t="n">
        <v>2929</v>
      </c>
      <c r="B2643" t="inlineStr">
        <is>
          <t>As a bodybuilder I want my smart home to advise me when my body switches from an anabolic state to a catabolic state so that I can take any dietary or other health steps to try to stay in an anabolic state as frequently as possible.</t>
        </is>
      </c>
    </row>
    <row r="2644">
      <c r="A2644" t="n">
        <v>2930</v>
      </c>
      <c r="B2644" t="inlineStr">
        <is>
          <t>As a home occupant I want specific phone ringing sounds so that I can tell whose calling base on the sound.</t>
        </is>
      </c>
    </row>
    <row r="2645">
      <c r="A2645" t="n">
        <v>2931</v>
      </c>
      <c r="B2645" t="inlineStr">
        <is>
          <t>As a home occupant I want my electronic appliances to automatically turn themselves off so that I can save on electricity.</t>
        </is>
      </c>
    </row>
    <row r="2646">
      <c r="A2646" t="n">
        <v>2932</v>
      </c>
      <c r="B2646" t="inlineStr">
        <is>
          <t>As a home occupant I want smart washing machine so that I just have to add the clothes and it washes, adds detergent and dries automatically when full..</t>
        </is>
      </c>
    </row>
    <row r="2647">
      <c r="A2647" t="n">
        <v>2933</v>
      </c>
      <c r="B2647" t="inlineStr">
        <is>
          <t>As a home occupant I want the lights in my home to adjust themselves based on the time of day so that I can save on electricity and prevent lights from being on too often.</t>
        </is>
      </c>
    </row>
    <row r="2648">
      <c r="A2648" t="n">
        <v>2934</v>
      </c>
      <c r="B2648" t="inlineStr">
        <is>
          <t>As a home occupant I want a voice control system that allows me to monitor multiple features in the house so that I can change features anywhere in the home.</t>
        </is>
      </c>
    </row>
    <row r="2649">
      <c r="A2649" t="n">
        <v>2935</v>
      </c>
      <c r="B2649" t="inlineStr">
        <is>
          <t>As a animal lover I want my smart home to inform me if any animal enters into my home or garage so that I can take steps to make sure that both the animal and my family remain safe from potential threats to one another.</t>
        </is>
      </c>
    </row>
    <row r="2650">
      <c r="A2650" t="n">
        <v>2937</v>
      </c>
      <c r="B2650" t="inlineStr">
        <is>
          <t>As a pet owner I want my home to alert me if my dog gets out of the yard so that I can promptly retrieve my dog to prevent danger to my dog or to any people who might encounter him.</t>
        </is>
      </c>
    </row>
    <row r="2651">
      <c r="A2651" t="n">
        <v>2938</v>
      </c>
      <c r="B2651" t="inlineStr">
        <is>
          <t>As a music lover I want my smart home to react to my voice and vocabulary to categorize, list, play, and flip through songs and artists from wherever I am in the home so that I may enjoy the music all around my home.</t>
        </is>
      </c>
    </row>
    <row r="2652">
      <c r="A2652" t="n">
        <v>2939</v>
      </c>
      <c r="B2652" t="inlineStr">
        <is>
          <t>As a home occupant I want my smart home to adjust my thermostat in my home to the temperature I prefer by memory and change by request of my voice only so that I can save money on my bills and not be inconvenienced .</t>
        </is>
      </c>
    </row>
    <row r="2653">
      <c r="A2653" t="n">
        <v>2940</v>
      </c>
      <c r="B2653" t="inlineStr">
        <is>
          <t>As a home occupant I want Automatic stove  so that It shuts itself off when I'm not cooking. .</t>
        </is>
      </c>
    </row>
    <row r="2654">
      <c r="A2654" t="n">
        <v>2941</v>
      </c>
      <c r="B2654" t="inlineStr">
        <is>
          <t>As a health conscious person I want my smart home to provide me with a daily report containing weight, percent body fat, heart rate, respiration rate and blood pressure so that I can keep track of my health progress.</t>
        </is>
      </c>
    </row>
    <row r="2655">
      <c r="A2655" t="n">
        <v>2942</v>
      </c>
      <c r="B2655" t="inlineStr">
        <is>
          <t>As a home owner I want my water to cut off so that in the event of a leak there is minimal water damage..</t>
        </is>
      </c>
    </row>
    <row r="2656">
      <c r="A2656" t="n">
        <v>2943</v>
      </c>
      <c r="B2656" t="inlineStr">
        <is>
          <t>As a home occupant I want voice activated television so that So that I can tell it the channel that I want to watch. .</t>
        </is>
      </c>
    </row>
    <row r="2657">
      <c r="A2657" t="n">
        <v>2944</v>
      </c>
      <c r="B2657" t="inlineStr">
        <is>
          <t>As a pet owner I want my smart home to sense my pet coming up to the door to open and let the pet outside.  Then open when he comes in from the outside and closes and relocks. so that I can be sure my home is secure and my pet can be active.</t>
        </is>
      </c>
    </row>
    <row r="2658">
      <c r="A2658" t="n">
        <v>2945</v>
      </c>
      <c r="B2658" t="inlineStr">
        <is>
          <t>As a home owner I want to be alerted about me electric usage so that I can keep my usage down..</t>
        </is>
      </c>
    </row>
    <row r="2659">
      <c r="A2659" t="n">
        <v>2946</v>
      </c>
      <c r="B2659" t="inlineStr">
        <is>
          <t>As a parent I want my smart home to have a projector that comes from behind the wall, onto a screen that comes down to assist my child with school work and interact with his questions so that my child can do better in school and get his needs met through interaction and assistance .</t>
        </is>
      </c>
    </row>
    <row r="2660">
      <c r="A2660" t="n">
        <v>2947</v>
      </c>
      <c r="B2660" t="inlineStr">
        <is>
          <t>As a home owner I want my clothes dryer to provide visual and auditory alerts when clothes are mostly dry so that I can quickly pull them from the dryer so they do not wrinkle and, in the process, cut down on energy consumption.</t>
        </is>
      </c>
    </row>
    <row r="2661">
      <c r="A2661" t="n">
        <v>2948</v>
      </c>
      <c r="B2661" t="inlineStr">
        <is>
          <t>As a pet owner I want smart home to have a computerized machine that will clean up pet messes at the command of my voice and discard them where appropriate so that I do not have to touch unsanitary material.</t>
        </is>
      </c>
    </row>
    <row r="2662">
      <c r="A2662" t="n">
        <v>2949</v>
      </c>
      <c r="B2662" t="inlineStr">
        <is>
          <t>As a husband I want notification of my pantry supplies when they run low so that I can restock before I run out..</t>
        </is>
      </c>
    </row>
    <row r="2663">
      <c r="A2663" t="n">
        <v>2950</v>
      </c>
      <c r="B2663" t="inlineStr">
        <is>
          <t>As a home occupant I want Toilet overflow sensor so that stop the water from flowing to the toilet if it's clogged, before black water spills on the floor. .</t>
        </is>
      </c>
    </row>
    <row r="2664">
      <c r="A2664" t="n">
        <v>2951</v>
      </c>
      <c r="B2664" t="inlineStr">
        <is>
          <t>As a home occupant I want sensors to switch off the lights and other appliances when nobody is there so that I can save elctricity.</t>
        </is>
      </c>
    </row>
    <row r="2665">
      <c r="A2665" t="n">
        <v>2952</v>
      </c>
      <c r="B2665" t="inlineStr">
        <is>
          <t>As a parent I want child location sensors so that I know where my children are at all times. .</t>
        </is>
      </c>
    </row>
    <row r="2666">
      <c r="A2666" t="n">
        <v>2953</v>
      </c>
      <c r="B2666" t="inlineStr">
        <is>
          <t>As a grandparent I want my cabinets to automatically lock so that the grandchildren are safe..</t>
        </is>
      </c>
    </row>
    <row r="2667">
      <c r="A2667" t="n">
        <v>2954</v>
      </c>
      <c r="B2667" t="inlineStr">
        <is>
          <t>As a home occupant I want my smart home to have outside shutters that are energy efficient and close and open in accordance with the temperature and time of day outside so that my home will stay at a satisfactory temperature to lower my bills and properly heat and cool my home.</t>
        </is>
      </c>
    </row>
    <row r="2668">
      <c r="A2668" t="n">
        <v>2955</v>
      </c>
      <c r="B2668" t="inlineStr">
        <is>
          <t>As a pet owner I want Automatic door with pet sensor so that It opens to let them and and out at night, so I don't have to. .</t>
        </is>
      </c>
    </row>
    <row r="2669">
      <c r="A2669" t="n">
        <v>2956</v>
      </c>
      <c r="B2669" t="inlineStr">
        <is>
          <t>As a home owner I want my smart home to monitor air quality and to open vents (and windows) when poor air quality is noted so that the existing air can be replaced with fresh air from outside.</t>
        </is>
      </c>
    </row>
    <row r="2670">
      <c r="A2670" t="n">
        <v>2957</v>
      </c>
      <c r="B2670" t="inlineStr">
        <is>
          <t>As a spouse I want the lights to dim and the music to play softly so that I can romance mysignificant other..</t>
        </is>
      </c>
    </row>
    <row r="2671">
      <c r="A2671" t="n">
        <v>2958</v>
      </c>
      <c r="B2671" t="inlineStr">
        <is>
          <t>As a parent I want shields inside the energy sockets everywhere in the home to come out of the outlets so that my children and animals will be protected if they touch or go near the areas (water too).</t>
        </is>
      </c>
    </row>
    <row r="2672">
      <c r="A2672" t="n">
        <v>2959</v>
      </c>
      <c r="B2672" t="inlineStr">
        <is>
          <t>As a home occupant I want sensors to switch off the cooking gas when nothing is kept on the stove so that I feel safe even if I forget to switch it off.</t>
        </is>
      </c>
    </row>
    <row r="2673">
      <c r="A2673" t="n">
        <v>2960</v>
      </c>
      <c r="B2673" t="inlineStr">
        <is>
          <t>As a home occupant I want my smart home to set a musical and visual alarm, by the sound of my voice, for whenever I need it and stay at previous time so that in case I fall asleep without setting the alarm it will be set for me and I will wake up because it will not stop until my voice shuts it off.</t>
        </is>
      </c>
    </row>
    <row r="2674">
      <c r="A2674" t="n">
        <v>2961</v>
      </c>
      <c r="B2674" t="inlineStr">
        <is>
          <t>As a home owner I want to be alerted of new postal delivery so that I know when to go to the mailbox..</t>
        </is>
      </c>
    </row>
    <row r="2675">
      <c r="A2675" t="n">
        <v>2962</v>
      </c>
      <c r="B2675" t="inlineStr">
        <is>
          <t>As a home occupant I want my smart home to have electric toilet flushes to shank if I forget to shank so that my toilet is clean always..</t>
        </is>
      </c>
    </row>
    <row r="2676">
      <c r="A2676" t="n">
        <v>2963</v>
      </c>
      <c r="B2676" t="inlineStr">
        <is>
          <t>As a home occupant I want my smart home to have counters that sanitize themselves after each use so that in case I forget to wipe down an area where meat or other potentially harmful products have been.</t>
        </is>
      </c>
    </row>
    <row r="2677">
      <c r="A2677" t="n">
        <v>2964</v>
      </c>
      <c r="B2677" t="inlineStr">
        <is>
          <t>As a person I want the temperature to adjust by voice command so that when I shower, I do not get scalded..</t>
        </is>
      </c>
    </row>
    <row r="2678">
      <c r="A2678" t="n">
        <v>2965</v>
      </c>
      <c r="B2678" t="inlineStr">
        <is>
          <t>As a father I want my smart home to have sensors to alert me when my baby is uncomfortable or crying so that I can take care of my child easily..</t>
        </is>
      </c>
    </row>
    <row r="2679">
      <c r="A2679" t="n">
        <v>2966</v>
      </c>
      <c r="B2679" t="inlineStr">
        <is>
          <t>As a pet owner I want my smart home to have a way to connect the litter box to the toilet for my cats who will not toilet train so that each time they go to the bathroom it will be taken into the toilet and disposed of.</t>
        </is>
      </c>
    </row>
    <row r="2680">
      <c r="A2680" t="n">
        <v>2967</v>
      </c>
      <c r="B2680" t="inlineStr">
        <is>
          <t>As a occupant I want my bed to warm or cool automatically so that at bedtime, I am cozy..</t>
        </is>
      </c>
    </row>
    <row r="2681">
      <c r="A2681" t="n">
        <v>2968</v>
      </c>
      <c r="B2681" t="inlineStr">
        <is>
          <t>As a home occupant I want my smart home to turn off non-essential electrical consumption when there is nobody present inside my home so that I can conserve energy.</t>
        </is>
      </c>
    </row>
    <row r="2682">
      <c r="A2682" t="n">
        <v>2969</v>
      </c>
      <c r="B2682" t="inlineStr">
        <is>
          <t>As a home occupant I want I want automatic bed sheeet changer so that I don't have to change them everyday..</t>
        </is>
      </c>
    </row>
    <row r="2683">
      <c r="A2683" t="n">
        <v>2970</v>
      </c>
      <c r="B2683" t="inlineStr">
        <is>
          <t>As a home occupant I want A sound recorder to turn on automatically when I am asleep so that I can hear if I snore or talk in my sleep..</t>
        </is>
      </c>
    </row>
    <row r="2684">
      <c r="A2684" t="n">
        <v>2971</v>
      </c>
      <c r="B2684" t="inlineStr">
        <is>
          <t>As a home occupant I want automatic shoe polisher so that my shoes are always clean..</t>
        </is>
      </c>
    </row>
    <row r="2685">
      <c r="A2685" t="n">
        <v>2972</v>
      </c>
      <c r="B2685" t="inlineStr">
        <is>
          <t>As a parent I want my smart home to make a pleasant noise when any of my doors open or close, that goes to my bedroom so that I can be sure my son is in the home and does not go anywhere without letting me know.</t>
        </is>
      </c>
    </row>
    <row r="2686">
      <c r="A2686" t="n">
        <v>2973</v>
      </c>
      <c r="B2686" t="inlineStr">
        <is>
          <t>As a home occupant I want automatic fan cleaner so that it cleans my fans in the home without much hassle..</t>
        </is>
      </c>
    </row>
    <row r="2687">
      <c r="A2687" t="n">
        <v>2974</v>
      </c>
      <c r="B2687" t="inlineStr">
        <is>
          <t>As a home owner I want to automatically be notified when the septic tank is near full so that I do not have any septic problems..</t>
        </is>
      </c>
    </row>
    <row r="2688">
      <c r="A2688" t="n">
        <v>2975</v>
      </c>
      <c r="B2688" t="inlineStr">
        <is>
          <t>As a home occupant I want automatic door opener with an alert so that I don't need to open the door every time someone is on the door. .</t>
        </is>
      </c>
    </row>
    <row r="2689">
      <c r="A2689" t="n">
        <v>2976</v>
      </c>
      <c r="B2689" t="inlineStr">
        <is>
          <t>As a home occupant I want an automatic germs and dust cleaner so that my house is free of germs and dust..</t>
        </is>
      </c>
    </row>
    <row r="2690">
      <c r="A2690" t="n">
        <v>2977</v>
      </c>
      <c r="B2690" t="inlineStr">
        <is>
          <t>As a home occupant I want my smart home to have an automatic water server that serves water as an when i feel thirsty so that i don't have to get up every time i feel thirsty. .</t>
        </is>
      </c>
    </row>
    <row r="2691">
      <c r="A2691" t="n">
        <v>2978</v>
      </c>
      <c r="B2691" t="inlineStr">
        <is>
          <t>As a home occupant I want motion sensors tied to the thermostat so that to automatically change the thermostat settings when someone enters or leaves the room. .</t>
        </is>
      </c>
    </row>
    <row r="2692">
      <c r="A2692" t="n">
        <v>2979</v>
      </c>
      <c r="B2692" t="inlineStr">
        <is>
          <t>As a home occupant I want temperature-sensing showerhead and bath spout so that shuts off if the water is too hot, and automatically adjusts the mix for optimal temperature.</t>
        </is>
      </c>
    </row>
    <row r="2693">
      <c r="A2693" t="n">
        <v>2980</v>
      </c>
      <c r="B2693" t="inlineStr">
        <is>
          <t>As a home occupant I want automatic windows so that They open or close depending on outside weather to help keep the temperature optimal.</t>
        </is>
      </c>
    </row>
    <row r="2694">
      <c r="A2694" t="n">
        <v>2981</v>
      </c>
      <c r="B2694" t="inlineStr">
        <is>
          <t>As a home occupant I want self-closing drawers so that I don't risk running into them if I forget to close them.</t>
        </is>
      </c>
    </row>
    <row r="2695">
      <c r="A2695" t="n">
        <v>2982</v>
      </c>
      <c r="B2695" t="inlineStr">
        <is>
          <t>As a home occupant I want chair sensor so that It warns me if my chair has been moved so that I don't call on my butt when I try to sit down. .</t>
        </is>
      </c>
    </row>
    <row r="2696">
      <c r="A2696" t="n">
        <v>2983</v>
      </c>
      <c r="B2696" t="inlineStr">
        <is>
          <t>As a home occupant I want an automatic stove so that it shuts itself off when I'm not cooking.</t>
        </is>
      </c>
    </row>
    <row r="2697">
      <c r="A2697" t="n">
        <v>2984</v>
      </c>
      <c r="B2697" t="inlineStr">
        <is>
          <t>As a parent I want child-detecting smart locks so that adults can open certain doors but children can't. .</t>
        </is>
      </c>
    </row>
    <row r="2698">
      <c r="A2698" t="n">
        <v>2985</v>
      </c>
      <c r="B2698" t="inlineStr">
        <is>
          <t>As a pet owner I want motion-activated pet detecting warning buzzer so that so that pets are driven away from areas that they shouldn't be in. .</t>
        </is>
      </c>
    </row>
    <row r="2699">
      <c r="A2699" t="n">
        <v>2987</v>
      </c>
      <c r="B2699" t="inlineStr">
        <is>
          <t>As a home occupant I want solar Sheated floors/walls so that we could stay warm in the winter.</t>
        </is>
      </c>
    </row>
    <row r="2700">
      <c r="A2700" t="n">
        <v>2988</v>
      </c>
      <c r="B2700" t="inlineStr">
        <is>
          <t>As a home occupant I want windows that adjust to the amount of outside light so that I could modulate the amount of electricity I use for lighting.</t>
        </is>
      </c>
    </row>
    <row r="2701">
      <c r="A2701" t="n">
        <v>2989</v>
      </c>
      <c r="B2701" t="inlineStr">
        <is>
          <t>As a home occupant I want appliances to have an auto-shutdown time so that I could modulate the amount of electricity I use .</t>
        </is>
      </c>
    </row>
    <row r="2702">
      <c r="A2702" t="n">
        <v>2990</v>
      </c>
      <c r="B2702" t="inlineStr">
        <is>
          <t>As a parent I want my smart home to be video monitored 24*7 and have access to my smartphone so that I am sure no disaster takes place..</t>
        </is>
      </c>
    </row>
    <row r="2703">
      <c r="A2703" t="n">
        <v>2991</v>
      </c>
      <c r="B2703" t="inlineStr">
        <is>
          <t>As a parent I want a smoke detector if there is any kind of smoke or leaking gas detected. so that I am alerted before any disaster takes place.</t>
        </is>
      </c>
    </row>
    <row r="2704">
      <c r="A2704" t="n">
        <v>2992</v>
      </c>
      <c r="B2704" t="inlineStr">
        <is>
          <t>As a parent I want my smart home to equipped with a home speaker so that I can get from morning alarms, weather information, to do list to bedtime stories.</t>
        </is>
      </c>
    </row>
    <row r="2705">
      <c r="A2705" t="n">
        <v>2993</v>
      </c>
      <c r="B2705" t="inlineStr">
        <is>
          <t>As a music listener I want A house that can create an adaptive playlist based on the time of day so that I can enjoy my music.</t>
        </is>
      </c>
    </row>
    <row r="2706">
      <c r="A2706" t="n">
        <v>2994</v>
      </c>
      <c r="B2706" t="inlineStr">
        <is>
          <t>As a parent I want my smart home to be smart card enabled so that I can open every door from a single card in case of emergency.</t>
        </is>
      </c>
    </row>
    <row r="2707">
      <c r="A2707" t="n">
        <v>2995</v>
      </c>
      <c r="B2707" t="inlineStr">
        <is>
          <t>As a home occupant I want water that is preemptively filtered  so that I can enjoy healthy water.</t>
        </is>
      </c>
    </row>
    <row r="2708">
      <c r="A2708" t="n">
        <v>2996</v>
      </c>
      <c r="B2708" t="inlineStr">
        <is>
          <t>As a home occupant I want fridge that can make ice cream so that I don't have to buy ice cream.</t>
        </is>
      </c>
    </row>
    <row r="2709">
      <c r="A2709" t="n">
        <v>2997</v>
      </c>
      <c r="B2709" t="inlineStr">
        <is>
          <t>As a parent I want my smart home to equipped with a smart air conditioner so that before returning home i get a pleasing and soothing temperature..</t>
        </is>
      </c>
    </row>
    <row r="2710">
      <c r="A2710" t="n">
        <v>2998</v>
      </c>
      <c r="B2710" t="inlineStr">
        <is>
          <t>As a home occupant I want A fridge that can heat different compartments at different temperatures so that I can use my fridge for many scenarios.</t>
        </is>
      </c>
    </row>
    <row r="2711">
      <c r="A2711" t="n">
        <v>2999</v>
      </c>
      <c r="B2711" t="inlineStr">
        <is>
          <t>As a parent I want my smart home to have smart lock so that I know who enters my house or leaves and it can controlled by an app.</t>
        </is>
      </c>
    </row>
    <row r="2712">
      <c r="A2712" t="n">
        <v>3000</v>
      </c>
      <c r="B2712" t="inlineStr">
        <is>
          <t>As a home occupant I want an escalator that is wind-powered that moves between floors so that I can move around all three levels quickly.</t>
        </is>
      </c>
    </row>
    <row r="2713">
      <c r="A2713" t="n">
        <v>3001</v>
      </c>
      <c r="B2713" t="inlineStr">
        <is>
          <t>As a home occupant I want A garage that is warmed to the level of the interior of the house so that I don't freeze in the winter.</t>
        </is>
      </c>
    </row>
    <row r="2714">
      <c r="A2714" t="n">
        <v>3002</v>
      </c>
      <c r="B2714" t="inlineStr">
        <is>
          <t>As a home occupant I want heated sidewalks so that I don't slip in the winter.</t>
        </is>
      </c>
    </row>
    <row r="2715">
      <c r="A2715" t="n">
        <v>3003</v>
      </c>
      <c r="B2715" t="inlineStr">
        <is>
          <t>As a home occupant I want my smart home to be included with water monitor so that I can get a report of any leakage..</t>
        </is>
      </c>
    </row>
    <row r="2716">
      <c r="A2716" t="n">
        <v>3004</v>
      </c>
      <c r="B2716" t="inlineStr">
        <is>
          <t>As a home occupant I want my smart home to be humidity monitor enabled so that my home gets ventilation activated.</t>
        </is>
      </c>
    </row>
    <row r="2717">
      <c r="A2717" t="n">
        <v>3005</v>
      </c>
      <c r="B2717" t="inlineStr">
        <is>
          <t>As a parent I want my smart home to be included with smart ligh bulbs so that when I enter it detects and activates.</t>
        </is>
      </c>
    </row>
    <row r="2718">
      <c r="A2718" t="n">
        <v>3006</v>
      </c>
      <c r="B2718" t="inlineStr">
        <is>
          <t>As a home occupant I want my smart home to equipped with smart bed so that it can track my hours of sleep,breathing,heart rate and movement.</t>
        </is>
      </c>
    </row>
    <row r="2719">
      <c r="A2719" t="n">
        <v>3010</v>
      </c>
      <c r="B2719" t="inlineStr">
        <is>
          <t>As a student I want a monitor that tunes into my classes at school  so that it can allow me to participate in class from home.</t>
        </is>
      </c>
    </row>
    <row r="2720">
      <c r="A2720" t="n">
        <v>3011</v>
      </c>
      <c r="B2720" t="inlineStr">
        <is>
          <t>As a mother I want a child sensor so that I can walkie talkie my child in the house.</t>
        </is>
      </c>
    </row>
    <row r="2721">
      <c r="A2721" t="n">
        <v>3012</v>
      </c>
      <c r="B2721" t="inlineStr">
        <is>
          <t>As a driver I want key detection sensor so that I cal always find my keys.</t>
        </is>
      </c>
    </row>
    <row r="2722">
      <c r="A2722" t="n">
        <v>3013</v>
      </c>
      <c r="B2722" t="inlineStr">
        <is>
          <t>As a home occupant I want a air status indicator so that to constantly assess the quality of my air.</t>
        </is>
      </c>
    </row>
    <row r="2723">
      <c r="A2723" t="n">
        <v>3014</v>
      </c>
      <c r="B2723" t="inlineStr">
        <is>
          <t>As a parent I want a toy collector so that to sense toys on the floor and collect them.</t>
        </is>
      </c>
    </row>
    <row r="2724">
      <c r="A2724" t="n">
        <v>3015</v>
      </c>
      <c r="B2724" t="inlineStr">
        <is>
          <t>As a eater I want a food date indicator so that to tell me when food goes bad.</t>
        </is>
      </c>
    </row>
    <row r="2725">
      <c r="A2725" t="n">
        <v>3016</v>
      </c>
      <c r="B2725" t="inlineStr">
        <is>
          <t>As a wife I want a mood indicator so that to tell me if my husband is in a bad mood.</t>
        </is>
      </c>
    </row>
    <row r="2726">
      <c r="A2726" t="n">
        <v>3017</v>
      </c>
      <c r="B2726" t="inlineStr">
        <is>
          <t>As a person I want a complimentor so that to tell me nice things randoly.</t>
        </is>
      </c>
    </row>
    <row r="2727">
      <c r="A2727" t="n">
        <v>3018</v>
      </c>
      <c r="B2727" t="inlineStr">
        <is>
          <t>As a consumer I want a coupon indicator so that to let me know when my favorite foods go on sale.</t>
        </is>
      </c>
    </row>
    <row r="2728">
      <c r="A2728" t="n">
        <v>3019</v>
      </c>
      <c r="B2728" t="inlineStr">
        <is>
          <t>As a home owner I want energy tracker so that I can find out if I am using too much eergy.</t>
        </is>
      </c>
    </row>
    <row r="2729">
      <c r="A2729" t="n">
        <v>3020</v>
      </c>
      <c r="B2729" t="inlineStr">
        <is>
          <t>As a home owner I want automatic temperature controls so that I am always comfortable without wasting energy..</t>
        </is>
      </c>
    </row>
    <row r="2730">
      <c r="A2730" t="n">
        <v>3021</v>
      </c>
      <c r="B2730" t="inlineStr">
        <is>
          <t>As a party thrower I want surround sound connected to wifi so that I can stream music in any room..</t>
        </is>
      </c>
    </row>
    <row r="2731">
      <c r="A2731" t="n">
        <v>3022</v>
      </c>
      <c r="B2731" t="inlineStr">
        <is>
          <t>As a occupant I want home safety system so that I can remotely lock and unlock doors and windows..</t>
        </is>
      </c>
    </row>
    <row r="2732">
      <c r="A2732" t="n">
        <v>3023</v>
      </c>
      <c r="B2732" t="inlineStr">
        <is>
          <t>As a home chef I want a smart kitchen so that it automatically creates a grocery list based on what I use from my fridge, freezer, and pantry..</t>
        </is>
      </c>
    </row>
    <row r="2733">
      <c r="A2733" t="n">
        <v>3024</v>
      </c>
      <c r="B2733" t="inlineStr">
        <is>
          <t>As a allergy sufferer I want air quality monitor so that I can be warned of pollutants in the air..</t>
        </is>
      </c>
    </row>
    <row r="2734">
      <c r="A2734" t="n">
        <v>3025</v>
      </c>
      <c r="B2734" t="inlineStr">
        <is>
          <t>As a home owner I want giant projector tv so that I can watch one game on a giant tv or multiple sports games at one on different parts of the screen..</t>
        </is>
      </c>
    </row>
    <row r="2735">
      <c r="A2735" t="n">
        <v>3026</v>
      </c>
      <c r="B2735" t="inlineStr">
        <is>
          <t>As a wine collector I want a smart wine cellar so that I can store multiple kinds of wine at the proper temperature and humidity for each..</t>
        </is>
      </c>
    </row>
    <row r="2736">
      <c r="A2736" t="n">
        <v>3027</v>
      </c>
      <c r="B2736" t="inlineStr">
        <is>
          <t>As a home chef I want automatic cabinets so that my small appliances can be raised and lowered automatically as needed..</t>
        </is>
      </c>
    </row>
    <row r="2737">
      <c r="A2737" t="n">
        <v>3028</v>
      </c>
      <c r="B2737" t="inlineStr">
        <is>
          <t>As a home owner I want video doorbell so that I can see who is at my door regardless of where I am.</t>
        </is>
      </c>
    </row>
    <row r="2738">
      <c r="A2738" t="n">
        <v>3029</v>
      </c>
      <c r="B2738" t="inlineStr">
        <is>
          <t>As a pet owner I want an entertainment system so that it can play with my cat using a laser beam, other toys, and turn on the tv/music to keep it entertained while I am away from home..</t>
        </is>
      </c>
    </row>
    <row r="2739">
      <c r="A2739" t="n">
        <v>3030</v>
      </c>
      <c r="B2739" t="inlineStr">
        <is>
          <t>As a home occupant I want alert system for washer and dryer so that I can be alerted to a load finishing no matter where I am in the house. .</t>
        </is>
      </c>
    </row>
    <row r="2740">
      <c r="A2740" t="n">
        <v>3031</v>
      </c>
      <c r="B2740" t="inlineStr">
        <is>
          <t>As a home occupant I want an alarm for the main doors so that I am notified when a door is left unlocked after a period of time. .</t>
        </is>
      </c>
    </row>
    <row r="2741">
      <c r="A2741" t="n">
        <v>3032</v>
      </c>
      <c r="B2741" t="inlineStr">
        <is>
          <t>As a home occupant I want faucets that detect temperature so that everyone can avoid burning themselves if it's too hot or shocking if it's too cold. .</t>
        </is>
      </c>
    </row>
    <row r="2742">
      <c r="A2742" t="n">
        <v>3033</v>
      </c>
      <c r="B2742" t="inlineStr">
        <is>
          <t>As a home occupant and parent I want motion sensors near staircases so that I will know if the baby gets too close. .</t>
        </is>
      </c>
    </row>
    <row r="2743">
      <c r="A2743" t="n">
        <v>3034</v>
      </c>
      <c r="B2743" t="inlineStr">
        <is>
          <t>As a home occupant I want motion sensor light switches so that in case I leave a light on by accident, they will automatically turn off. .</t>
        </is>
      </c>
    </row>
    <row r="2744">
      <c r="A2744" t="n">
        <v>3035</v>
      </c>
      <c r="B2744" t="inlineStr">
        <is>
          <t>As a home occupant I want automated faucets so that I can  run a bath whenever I feel like it even if I'm doing something else at the time. .</t>
        </is>
      </c>
    </row>
    <row r="2745">
      <c r="A2745" t="n">
        <v>3036</v>
      </c>
      <c r="B2745" t="inlineStr">
        <is>
          <t>As a home occupant I want automatic window screens so that I can switch them out at the turn of the season without much work. .</t>
        </is>
      </c>
    </row>
    <row r="2746">
      <c r="A2746" t="n">
        <v>3037</v>
      </c>
      <c r="B2746" t="inlineStr">
        <is>
          <t>As a home occupant I want wifi wired into all of the walls so that I would never have to worry about weak internet anywhere in the house. .</t>
        </is>
      </c>
    </row>
    <row r="2747">
      <c r="A2747" t="n">
        <v>3038</v>
      </c>
      <c r="B2747" t="inlineStr">
        <is>
          <t>As a home occupant I want smoke and co2 detectors that don't need batteries so that I would never have to worry about dead batteries or fires. .</t>
        </is>
      </c>
    </row>
    <row r="2748">
      <c r="A2748" t="n">
        <v>3039</v>
      </c>
      <c r="B2748" t="inlineStr">
        <is>
          <t>As a home occupant I want a self cooling oven so that no one would ever burn themselves on its outer surfaces even when it's in use. .</t>
        </is>
      </c>
    </row>
    <row r="2749">
      <c r="A2749" t="n">
        <v>3040</v>
      </c>
      <c r="B2749" t="inlineStr">
        <is>
          <t>As a gamer I want be able to download and stream games from services (Steam, XBox Live, etc) so that I can etnertain myself and guests.</t>
        </is>
      </c>
    </row>
    <row r="2750">
      <c r="A2750" t="n">
        <v>3041</v>
      </c>
      <c r="B2750" t="inlineStr">
        <is>
          <t>As a environmentalist I want have solar power so that coal doesn't pollute the air to power my home.</t>
        </is>
      </c>
    </row>
    <row r="2751">
      <c r="A2751" t="n">
        <v>3042</v>
      </c>
      <c r="B2751" t="inlineStr">
        <is>
          <t>As a board game geek I want a robot that automatically keeps track of gaming pieces and can set up a game and put it away so that I don't ever lose pieces from board games and don't waste time setting it up and cleaning it back up.</t>
        </is>
      </c>
    </row>
    <row r="2752">
      <c r="A2752" t="n">
        <v>3043</v>
      </c>
      <c r="B2752" t="inlineStr">
        <is>
          <t>As a not morning person I want breakfast to be automaticlaly cooked at a certain time and wake up to the smell of bacon so that it is more pleasant to wake up.</t>
        </is>
      </c>
    </row>
    <row r="2753">
      <c r="A2753" t="n">
        <v>3044</v>
      </c>
      <c r="B2753" t="inlineStr">
        <is>
          <t>As a home occupant I want scale to upload weight to a data server so that I can keep track of it.</t>
        </is>
      </c>
    </row>
    <row r="2754">
      <c r="A2754" t="n">
        <v>3045</v>
      </c>
      <c r="B2754" t="inlineStr">
        <is>
          <t>As a home occupant I want self-scrubbing toilets so that a dirty task took care of itself.</t>
        </is>
      </c>
    </row>
    <row r="2755">
      <c r="A2755" t="n">
        <v>3046</v>
      </c>
      <c r="B2755" t="inlineStr">
        <is>
          <t>As a home occupant I want lights to be turned off when I leave a room so that I can save anergy.</t>
        </is>
      </c>
    </row>
    <row r="2756">
      <c r="A2756" t="n">
        <v>3047</v>
      </c>
      <c r="B2756" t="inlineStr">
        <is>
          <t>As a home owner I want oven to shut off if the house is not occupied so that fires don't happen.</t>
        </is>
      </c>
    </row>
    <row r="2757">
      <c r="A2757" t="n">
        <v>3048</v>
      </c>
      <c r="B2757" t="inlineStr">
        <is>
          <t>As a parent I want harmful gases, lead levels, and more are monitored  so that my children are healthy at all times.</t>
        </is>
      </c>
    </row>
    <row r="2758">
      <c r="A2758" t="n">
        <v>3049</v>
      </c>
      <c r="B2758" t="inlineStr">
        <is>
          <t>As a home occupant I want automatic dishwasher so that I don't have to clean dishes.</t>
        </is>
      </c>
    </row>
    <row r="2759">
      <c r="A2759" t="n">
        <v>3050</v>
      </c>
      <c r="B2759" t="inlineStr">
        <is>
          <t>As a home occupant I want the temperature to be variable when I am not home so that I can save energy.</t>
        </is>
      </c>
    </row>
    <row r="2760">
      <c r="A2760" t="n">
        <v>3051</v>
      </c>
      <c r="B2760" t="inlineStr">
        <is>
          <t>As a home occupant I want a smart power system so that so that my home saves energy.</t>
        </is>
      </c>
    </row>
    <row r="2761">
      <c r="A2761" t="n">
        <v>3053</v>
      </c>
      <c r="B2761" t="inlineStr">
        <is>
          <t>As a home occupant I want the television to recognize faces and automatically sign in to internet tv providers and email so that I don't have to.</t>
        </is>
      </c>
    </row>
    <row r="2762">
      <c r="A2762" t="n">
        <v>3054</v>
      </c>
      <c r="B2762" t="inlineStr">
        <is>
          <t>As a home occupant I want my drink to automatically be filled when its low (it could be measured by weight) so that I don't have to walk to the fridge and can embrace laziness.</t>
        </is>
      </c>
    </row>
    <row r="2763">
      <c r="A2763" t="n">
        <v>3055</v>
      </c>
      <c r="B2763" t="inlineStr">
        <is>
          <t>As a home I want My house to automatically lock all windows and doors once I close the front door and step on the front steps outsidde so that  I can always be comfortable..</t>
        </is>
      </c>
    </row>
    <row r="2764">
      <c r="A2764" t="n">
        <v>3056</v>
      </c>
      <c r="B2764" t="inlineStr">
        <is>
          <t>As a home occupant I want door to unlock when I am in proximity so that I don't have to fumble with keys.</t>
        </is>
      </c>
    </row>
    <row r="2765">
      <c r="A2765" t="n">
        <v>3057</v>
      </c>
      <c r="B2765" t="inlineStr">
        <is>
          <t>As a mother I want save time cleaning so automatic cleaner so that I spend moretime with kids.</t>
        </is>
      </c>
    </row>
    <row r="2766">
      <c r="A2766" t="n">
        <v>3059</v>
      </c>
      <c r="B2766" t="inlineStr">
        <is>
          <t>As a home occupant I want voice activated mirrors with dispays so that I can see my itinerary.</t>
        </is>
      </c>
    </row>
    <row r="2767">
      <c r="A2767" t="n">
        <v>3060</v>
      </c>
      <c r="B2767" t="inlineStr">
        <is>
          <t>As a parent I want syncronized alarm clocks so that my entire family can be woken at the same time..</t>
        </is>
      </c>
    </row>
    <row r="2768">
      <c r="A2768" t="n">
        <v>3061</v>
      </c>
      <c r="B2768" t="inlineStr">
        <is>
          <t>As a home owner I want voice activated shower so that i can set the shower to a precise temperature and flow.</t>
        </is>
      </c>
    </row>
    <row r="2769">
      <c r="A2769" t="n">
        <v>3062</v>
      </c>
      <c r="B2769" t="inlineStr">
        <is>
          <t>As a home occupant I want motion sensors throughout the house so that rooms which are empty turn off their lights and appliances, saving energy..</t>
        </is>
      </c>
    </row>
    <row r="2770">
      <c r="A2770" t="n">
        <v>3063</v>
      </c>
      <c r="B2770" t="inlineStr">
        <is>
          <t>As a pet owner I want water dish hooked to sink to auto refill so that I never have to fill the bowl.</t>
        </is>
      </c>
    </row>
    <row r="2771">
      <c r="A2771" t="n">
        <v>3064</v>
      </c>
      <c r="B2771" t="inlineStr">
        <is>
          <t>As a home owner I want automatic doors so that I don't have to open them.</t>
        </is>
      </c>
    </row>
    <row r="2772">
      <c r="A2772" t="n">
        <v>3065</v>
      </c>
      <c r="B2772" t="inlineStr">
        <is>
          <t>As a home occupant I want a machine mounted on the ceiling next to the air vent, to filter out the dirty air  so that I can breathe pure, clean air.</t>
        </is>
      </c>
    </row>
    <row r="2773">
      <c r="A2773" t="n">
        <v>3067</v>
      </c>
      <c r="B2773" t="inlineStr">
        <is>
          <t>As a person that uses the bathroom and occasionally eat too much spicy food, I want a toilet that cleans itself so that I don't have to scrub feces.</t>
        </is>
      </c>
    </row>
    <row r="2774">
      <c r="A2774" t="n">
        <v>3068</v>
      </c>
      <c r="B2774" t="inlineStr">
        <is>
          <t>As a parent I want i want my smart home to put heat or air conditioning on depending on the temperature in the room so that it will save me time in the morning..</t>
        </is>
      </c>
    </row>
    <row r="2775">
      <c r="A2775" t="n">
        <v>3069</v>
      </c>
      <c r="B2775" t="inlineStr">
        <is>
          <t>As a nurse I want floors that resist germs so that I don't spread germs.</t>
        </is>
      </c>
    </row>
    <row r="2776">
      <c r="A2776" t="n">
        <v>3070</v>
      </c>
      <c r="B2776" t="inlineStr">
        <is>
          <t>As a wife I want automatic loading washer so that all the clothes get clean.</t>
        </is>
      </c>
    </row>
    <row r="2777">
      <c r="A2777" t="n">
        <v>3071</v>
      </c>
      <c r="B2777" t="inlineStr">
        <is>
          <t>As a pet owner I want a servant or tub that cleans/bathes/grooms my pet so that I can keep my pet's hygiene well.</t>
        </is>
      </c>
    </row>
    <row r="2778">
      <c r="A2778" t="n">
        <v>3072</v>
      </c>
      <c r="B2778" t="inlineStr">
        <is>
          <t>As a home occupant I want smart breakfast appliances so that my toddler doesn't flood the house.</t>
        </is>
      </c>
    </row>
    <row r="2779">
      <c r="A2779" t="n">
        <v>3074</v>
      </c>
      <c r="B2779" t="inlineStr">
        <is>
          <t>As a home occupant I want wireless microphones in each room so that so control lighting, temperature, and appliances with voice commands..</t>
        </is>
      </c>
    </row>
    <row r="2780">
      <c r="A2780" t="n">
        <v>3075</v>
      </c>
      <c r="B2780" t="inlineStr">
        <is>
          <t>As a host I want monitor air flow and quality so that my guests are comfortable at all times.</t>
        </is>
      </c>
    </row>
    <row r="2781">
      <c r="A2781" t="n">
        <v>3076</v>
      </c>
      <c r="B2781" t="inlineStr">
        <is>
          <t>As a mother I want automatic toy sorter so that don't have to pick up toys.</t>
        </is>
      </c>
    </row>
    <row r="2782">
      <c r="A2782" t="n">
        <v>3077</v>
      </c>
      <c r="B2782" t="inlineStr">
        <is>
          <t>As a hostess I want A party fridge that learns and remembers my guests drink preferences and makes drink menus and orders low supplies. so that I can make sure to serve beverages that make many people happy and prevent arguments..</t>
        </is>
      </c>
    </row>
    <row r="2783">
      <c r="A2783" t="n">
        <v>3078</v>
      </c>
      <c r="B2783" t="inlineStr">
        <is>
          <t>As a techie I want voice activated lights so that never have to get up.</t>
        </is>
      </c>
    </row>
    <row r="2784">
      <c r="A2784" t="n">
        <v>3079</v>
      </c>
      <c r="B2784" t="inlineStr">
        <is>
          <t>As a aquarium owner I want leakage sensors so that if anything around my tank starts to leak, I get notified..</t>
        </is>
      </c>
    </row>
    <row r="2785">
      <c r="A2785" t="n">
        <v>3080</v>
      </c>
      <c r="B2785" t="inlineStr">
        <is>
          <t>As a home occupant I want window sensors, so that my home will be energy efficient and comfortable..</t>
        </is>
      </c>
    </row>
    <row r="2786">
      <c r="A2786" t="n">
        <v>3081</v>
      </c>
      <c r="B2786" t="inlineStr">
        <is>
          <t>As a parent I want an alarm system/sensor on the stairs so that it will alert me when my child nears the stairs.</t>
        </is>
      </c>
    </row>
    <row r="2787">
      <c r="A2787" t="n">
        <v>3082</v>
      </c>
      <c r="B2787" t="inlineStr">
        <is>
          <t>As a home occupant I want smart windows that can tint so that I can control whether light is allowed in.</t>
        </is>
      </c>
    </row>
    <row r="2788">
      <c r="A2788" t="n">
        <v>3083</v>
      </c>
      <c r="B2788" t="inlineStr">
        <is>
          <t>As a home owner I want garage sensor so that I can check if I shut my garage door when I leave..</t>
        </is>
      </c>
    </row>
    <row r="2789">
      <c r="A2789" t="n">
        <v>3084</v>
      </c>
      <c r="B2789" t="inlineStr">
        <is>
          <t>As a parent I want automatic temperature adjuster for bath so that water doesn't get too hot.</t>
        </is>
      </c>
    </row>
    <row r="2790">
      <c r="A2790" t="n">
        <v>3085</v>
      </c>
      <c r="B2790" t="inlineStr">
        <is>
          <t>As a home occupant I want it automatically replenishes itself at lunch time of pet. so that My home will be secure from burgulars..</t>
        </is>
      </c>
    </row>
    <row r="2791">
      <c r="A2791" t="n">
        <v>3086</v>
      </c>
      <c r="B2791" t="inlineStr">
        <is>
          <t>As a energy saving person I want motion dectectors to monitor movement, and shut off lights and non-essential appliances if none is detected after a certain time so that i can save money and conserve .</t>
        </is>
      </c>
    </row>
    <row r="2792">
      <c r="A2792" t="n">
        <v>3087</v>
      </c>
      <c r="B2792" t="inlineStr">
        <is>
          <t>As a energy conserver I want a home that measures changes in how tight my home is so that I can stop leaks before they get too big..</t>
        </is>
      </c>
    </row>
    <row r="2793">
      <c r="A2793" t="n">
        <v>3088</v>
      </c>
      <c r="B2793" t="inlineStr">
        <is>
          <t>As a a musician I want microphone picks up voice or instruments and automatically records the sound then transcribes and composes into sheet music so that I can easily get my creative ideas documented.</t>
        </is>
      </c>
    </row>
    <row r="2794">
      <c r="A2794" t="n">
        <v>3089</v>
      </c>
      <c r="B2794" t="inlineStr">
        <is>
          <t>As a viewer I want an interconnected entertainment network, house wide. so that I can roam the house and multitask, but any program, music, or movie I am watching comes on as I enter the room, and turns off as I leave..</t>
        </is>
      </c>
    </row>
    <row r="2795">
      <c r="A2795" t="n">
        <v>3090</v>
      </c>
      <c r="B2795" t="inlineStr">
        <is>
          <t>As a home owner I want water sensor so that I'm notified if my basement starts to leak water..</t>
        </is>
      </c>
    </row>
    <row r="2796">
      <c r="A2796" t="n">
        <v>3091</v>
      </c>
      <c r="B2796" t="inlineStr">
        <is>
          <t>As a home owner I want automatic blinds so that I don't have to open/close.</t>
        </is>
      </c>
    </row>
    <row r="2797">
      <c r="A2797" t="n">
        <v>3092</v>
      </c>
      <c r="B2797" t="inlineStr">
        <is>
          <t>As a home occupant I want my smart home to turn off the heat if anything is blocking the heater, so that  I can know where it is and solve the problem before it spreads..</t>
        </is>
      </c>
    </row>
    <row r="2798">
      <c r="A2798" t="n">
        <v>3093</v>
      </c>
      <c r="B2798" t="inlineStr">
        <is>
          <t>As a parent I want smart sensors for my child's room so that so that if they leave their beds or rooms, an alert is sounded to prevent kidnapping..</t>
        </is>
      </c>
    </row>
    <row r="2799">
      <c r="A2799" t="n">
        <v>3094</v>
      </c>
      <c r="B2799" t="inlineStr">
        <is>
          <t>As a teacher I want smart techonolgy to indicate me wheather the students are studying or not by recognizing their voice so that I can take some rest..</t>
        </is>
      </c>
    </row>
    <row r="2800">
      <c r="A2800" t="n">
        <v>3095</v>
      </c>
      <c r="B2800" t="inlineStr">
        <is>
          <t>As a woman I want a smart alarm so that I will be protected from intruders..</t>
        </is>
      </c>
    </row>
    <row r="2801">
      <c r="A2801" t="n">
        <v>3096</v>
      </c>
      <c r="B2801" t="inlineStr">
        <is>
          <t>As a pet owner I want I'm aware if a window is open and letting cold/hot air in. so that  I can always be comfortable..</t>
        </is>
      </c>
    </row>
    <row r="2802">
      <c r="A2802" t="n">
        <v>3097</v>
      </c>
      <c r="B2802" t="inlineStr">
        <is>
          <t>As a girl I want outlet control so that I can turn off power to an outlet if I leave my hair straightener plugged in after I leave..</t>
        </is>
      </c>
    </row>
    <row r="2803">
      <c r="A2803" t="n">
        <v>3098</v>
      </c>
      <c r="B2803" t="inlineStr">
        <is>
          <t>As a cat owner I want cat food automatically dispensed at certain times so that my cat will not go hungry..</t>
        </is>
      </c>
    </row>
    <row r="2804">
      <c r="A2804" t="n">
        <v>3099</v>
      </c>
      <c r="B2804" t="inlineStr">
        <is>
          <t>As a home owner I want robotic trash machine so that to empty trash.</t>
        </is>
      </c>
    </row>
    <row r="2805">
      <c r="A2805" t="n">
        <v>3100</v>
      </c>
      <c r="B2805" t="inlineStr">
        <is>
          <t>As a grocery shopper I want a refridgerator that can scan items' barcode when something is low to have it delivered to my door so that I can save time and money.</t>
        </is>
      </c>
    </row>
    <row r="2806">
      <c r="A2806" t="n">
        <v>3101</v>
      </c>
      <c r="B2806" t="inlineStr">
        <is>
          <t>As a home occupant I want My house to automatically lock all windows and doors once I close the front door and step on the front steps outsidde, so that  I can always be comfortable..</t>
        </is>
      </c>
    </row>
    <row r="2807">
      <c r="A2807" t="n">
        <v>3102</v>
      </c>
      <c r="B2807" t="inlineStr">
        <is>
          <t>As a home owner I want sensors on the bathtub so that if I fall the paramedics will be called.</t>
        </is>
      </c>
    </row>
    <row r="2808">
      <c r="A2808" t="n">
        <v>3103</v>
      </c>
      <c r="B2808" t="inlineStr">
        <is>
          <t>As a home occupant I want a thermostat that senses when I arrive home so that so that the house will be automatically cooled or heated to the perfect temperature when I arrive..</t>
        </is>
      </c>
    </row>
    <row r="2809">
      <c r="A2809" t="n">
        <v>3104</v>
      </c>
      <c r="B2809" t="inlineStr">
        <is>
          <t>As a home occupant I want sensors on doors so that doors auotmatically open and close when I am near them.</t>
        </is>
      </c>
    </row>
    <row r="2810">
      <c r="A2810" t="n">
        <v>3105</v>
      </c>
      <c r="B2810" t="inlineStr">
        <is>
          <t>As a nurse I want uv light show holder so that kill germs.</t>
        </is>
      </c>
    </row>
    <row r="2811">
      <c r="A2811" t="n">
        <v>3106</v>
      </c>
      <c r="B2811" t="inlineStr">
        <is>
          <t>As a home owner I want walls that collect sunlight to heat my house so that I spend less money on heat.</t>
        </is>
      </c>
    </row>
    <row r="2812">
      <c r="A2812" t="n">
        <v>3107</v>
      </c>
      <c r="B2812" t="inlineStr">
        <is>
          <t>As a home occupant I want  smart breakfast appliances, so that My home will be secure from burgulars..</t>
        </is>
      </c>
    </row>
    <row r="2813">
      <c r="A2813" t="n">
        <v>3108</v>
      </c>
      <c r="B2813" t="inlineStr">
        <is>
          <t>As a home occupant I want full-house carbon monoxide sensors so that I'd be immediately alerted to any threat of carbon monoxide..</t>
        </is>
      </c>
    </row>
    <row r="2814">
      <c r="A2814" t="n">
        <v>3109</v>
      </c>
      <c r="B2814" t="inlineStr">
        <is>
          <t>As a home occupant I want a learning thermostat, so that  my smart home to turn off the heat if anything is blocking the heater,.</t>
        </is>
      </c>
    </row>
    <row r="2815">
      <c r="A2815" t="n">
        <v>3110</v>
      </c>
      <c r="B2815" t="inlineStr">
        <is>
          <t>As a home owner I want individual room thermostats so that I can control different temperatures in different rooms depending on usage..</t>
        </is>
      </c>
    </row>
    <row r="2816">
      <c r="A2816" t="n">
        <v>3112</v>
      </c>
      <c r="B2816" t="inlineStr">
        <is>
          <t>As a chef I want A smart oven so that Cook things that require different temperatures all at the same time in the same space.</t>
        </is>
      </c>
    </row>
    <row r="2817">
      <c r="A2817" t="n">
        <v>3114</v>
      </c>
      <c r="B2817" t="inlineStr">
        <is>
          <t>As a tv watcher I want a tv that senses when I am asleep and shuts off so that I dont have to wake myself up to turn off the tv.</t>
        </is>
      </c>
    </row>
    <row r="2818">
      <c r="A2818" t="n">
        <v>3115</v>
      </c>
      <c r="B2818" t="inlineStr">
        <is>
          <t>As a parent I want smart gates on the stairs that automatically lock so that small children can't fall down the stairs..</t>
        </is>
      </c>
    </row>
    <row r="2819">
      <c r="A2819" t="n">
        <v>3116</v>
      </c>
      <c r="B2819" t="inlineStr">
        <is>
          <t>As a home occupant I want my smart home to recognize stress words that automatically cue appropriate music from the stereo so that I can calm down.</t>
        </is>
      </c>
    </row>
    <row r="2820">
      <c r="A2820" t="n">
        <v>3117</v>
      </c>
      <c r="B2820" t="inlineStr">
        <is>
          <t>As a home occupant I want a program to search,  and download movies on it's own when I ask it to so that so that I don't have to do it..</t>
        </is>
      </c>
    </row>
    <row r="2821">
      <c r="A2821" t="n">
        <v>3119</v>
      </c>
      <c r="B2821" t="inlineStr">
        <is>
          <t>As a home occupant I want rfid sensors so that when I come home, it senses my RFID chip and turns on coffee maker..</t>
        </is>
      </c>
    </row>
    <row r="2822">
      <c r="A2822" t="n">
        <v>3120</v>
      </c>
      <c r="B2822" t="inlineStr">
        <is>
          <t>As a housewife I want a machine to alarm me at the time of serials so that I can watch the serial on time.</t>
        </is>
      </c>
    </row>
    <row r="2823">
      <c r="A2823" t="n">
        <v>3121</v>
      </c>
      <c r="B2823" t="inlineStr">
        <is>
          <t>As a home owner I want outdoor motion detectors so that I can be alerted when there is movement outside my house..</t>
        </is>
      </c>
    </row>
    <row r="2824">
      <c r="A2824" t="n">
        <v>3122</v>
      </c>
      <c r="B2824" t="inlineStr">
        <is>
          <t>As a home occupant I want a washer and drier that text me as soon as they're done so that I can do the laundry more quickly and efficiently..</t>
        </is>
      </c>
    </row>
    <row r="2825">
      <c r="A2825" t="n">
        <v>3123</v>
      </c>
      <c r="B2825" t="inlineStr">
        <is>
          <t>As a parent I want be able to set up electronic use monthly and have my smart home follow regulations i put forth so that my children have guidelines and limited exposure to technology daily..</t>
        </is>
      </c>
    </row>
    <row r="2826">
      <c r="A2826" t="n">
        <v>3124</v>
      </c>
      <c r="B2826" t="inlineStr">
        <is>
          <t>As a parent I want outdoor motion detectors so that  my home is secure and safe.</t>
        </is>
      </c>
    </row>
    <row r="2827">
      <c r="A2827" t="n">
        <v>3125</v>
      </c>
      <c r="B2827" t="inlineStr">
        <is>
          <t>As a chicken owner I want a automatic egg harvester that puts the eggs in the fridge so that I can collect all my eggs even if I am not home..</t>
        </is>
      </c>
    </row>
    <row r="2828">
      <c r="A2828" t="n">
        <v>3127</v>
      </c>
      <c r="B2828" t="inlineStr">
        <is>
          <t>As a home occupant I want my coffeemaker to sense when I get out of bed so that so my coffee will be brewed by the time I get downstairs..</t>
        </is>
      </c>
    </row>
    <row r="2829">
      <c r="A2829" t="n">
        <v>3128</v>
      </c>
      <c r="B2829" t="inlineStr">
        <is>
          <t>As a pet owner I want a robot pooper scooper so that it can follow Fido in the yard and bag and toss his waste so I don't have to..</t>
        </is>
      </c>
    </row>
    <row r="2830">
      <c r="A2830" t="n">
        <v>3129</v>
      </c>
      <c r="B2830" t="inlineStr">
        <is>
          <t>As a home owner I want a smart thermostat so that The house can be comfortable without wasting energy.</t>
        </is>
      </c>
    </row>
    <row r="2831">
      <c r="A2831" t="n">
        <v>3130</v>
      </c>
      <c r="B2831" t="inlineStr">
        <is>
          <t>As a home owner I want window sensors so that I am aware if I leave a window open after I leave the house..</t>
        </is>
      </c>
    </row>
    <row r="2832">
      <c r="A2832" t="n">
        <v>3131</v>
      </c>
      <c r="B2832" t="inlineStr">
        <is>
          <t>As a news junkie and coffee addict I want a coffee mug that has a screen and displays the morning news from sources I choose so that I can drink my coffee and read the news in the morning.</t>
        </is>
      </c>
    </row>
    <row r="2833">
      <c r="A2833" t="n">
        <v>3132</v>
      </c>
      <c r="B2833" t="inlineStr">
        <is>
          <t>As a home occupant I want my thermostat to automatically turn down when it's bedtime so that I can save energy..</t>
        </is>
      </c>
    </row>
    <row r="2834">
      <c r="A2834" t="n">
        <v>3133</v>
      </c>
      <c r="B2834" t="inlineStr">
        <is>
          <t>As a dog owner I want leash that can go around the entire outside of the house so that my dog doesnt run away but has a room to run..</t>
        </is>
      </c>
    </row>
    <row r="2835">
      <c r="A2835" t="n">
        <v>3134</v>
      </c>
      <c r="B2835" t="inlineStr">
        <is>
          <t>As a home occupant I want I want a program installed in my home to keep track of my daily water usuage so that I am more aware of how much water I do not need to waste.</t>
        </is>
      </c>
    </row>
    <row r="2836">
      <c r="A2836" t="n">
        <v>3135</v>
      </c>
      <c r="B2836" t="inlineStr">
        <is>
          <t>As a home owner I want an machine to indicate me the level of water in the water tank. so that I can refill the tank at time.</t>
        </is>
      </c>
    </row>
    <row r="2837">
      <c r="A2837" t="n">
        <v>3136</v>
      </c>
      <c r="B2837" t="inlineStr">
        <is>
          <t>As a home occupant I want be able to scan movement in the walls regularly  so that i can be alerted by pests when they first intrude..</t>
        </is>
      </c>
    </row>
    <row r="2838">
      <c r="A2838" t="n">
        <v>3137</v>
      </c>
      <c r="B2838" t="inlineStr">
        <is>
          <t>As a home occupant I want a perimeter alarm that will alert me if anyone enters my yard so that I'll be safe from intruders..</t>
        </is>
      </c>
    </row>
    <row r="2839">
      <c r="A2839" t="n">
        <v>3138</v>
      </c>
      <c r="B2839" t="inlineStr">
        <is>
          <t>As a home occupant I want automatic light dimmers so that light adjusts in my house depending on the amount of natural light..</t>
        </is>
      </c>
    </row>
    <row r="2840">
      <c r="A2840" t="n">
        <v>3139</v>
      </c>
      <c r="B2840" t="inlineStr">
        <is>
          <t>As a home occupant I want a smart refrigerator so that food can be ordered at the store when it runs out or expires and can notify me..</t>
        </is>
      </c>
    </row>
    <row r="2841">
      <c r="A2841" t="n">
        <v>3140</v>
      </c>
      <c r="B2841" t="inlineStr">
        <is>
          <t>As a home owner I want motion sensitive lighting so that I can save energy and not have to worry about everyone in the house forgetting to turn the lights out.</t>
        </is>
      </c>
    </row>
    <row r="2842">
      <c r="A2842" t="n">
        <v>3141</v>
      </c>
      <c r="B2842" t="inlineStr">
        <is>
          <t>As a home occupant I want my smart home to have curtains that open with the alarm on my phone so that I will wake up at a reasonable hour.</t>
        </is>
      </c>
    </row>
    <row r="2843">
      <c r="A2843" t="n">
        <v>3142</v>
      </c>
      <c r="B2843" t="inlineStr">
        <is>
          <t>As a home occupant I want automatic fragrance sprinkler so that can save time.</t>
        </is>
      </c>
    </row>
    <row r="2844">
      <c r="A2844" t="n">
        <v>3143</v>
      </c>
      <c r="B2844" t="inlineStr">
        <is>
          <t>As a home occupant I want automatic shutoff features on appliances so that if I forget to turn them off, they'll be shut off automatically..</t>
        </is>
      </c>
    </row>
    <row r="2845">
      <c r="A2845" t="n">
        <v>3144</v>
      </c>
      <c r="B2845" t="inlineStr">
        <is>
          <t>As a home owner I want a bed that makes itselt so that I always have a freshly made bed..</t>
        </is>
      </c>
    </row>
    <row r="2846">
      <c r="A2846" t="n">
        <v>3145</v>
      </c>
      <c r="B2846" t="inlineStr">
        <is>
          <t>As a home occupant I want Self-parking, stackable garage so that More of our cars can be in the garage and out of the elements, without more square feet..</t>
        </is>
      </c>
    </row>
    <row r="2847">
      <c r="A2847" t="n">
        <v>3146</v>
      </c>
      <c r="B2847" t="inlineStr">
        <is>
          <t>As a neighbor I want sensors on my bedroom windows that close when someone is standing outside of them so that I can have privacy and safety.</t>
        </is>
      </c>
    </row>
    <row r="2848">
      <c r="A2848" t="n">
        <v>3147</v>
      </c>
      <c r="B2848" t="inlineStr">
        <is>
          <t>As a parent I want a miracle shampoo and conditioner so that my daughter no longer gets her hair tangled.</t>
        </is>
      </c>
    </row>
    <row r="2849">
      <c r="A2849" t="n">
        <v>3148</v>
      </c>
      <c r="B2849" t="inlineStr">
        <is>
          <t>As a home owner I want controlable outlets so that I can shut off outlets in the house when not in use..</t>
        </is>
      </c>
    </row>
    <row r="2850">
      <c r="A2850" t="n">
        <v>3149</v>
      </c>
      <c r="B2850" t="inlineStr">
        <is>
          <t>As a home owner I want An alarm if anyone enters my home so that I can make my home safety.</t>
        </is>
      </c>
    </row>
    <row r="2851">
      <c r="A2851" t="n">
        <v>3150</v>
      </c>
      <c r="B2851" t="inlineStr">
        <is>
          <t>As a gardener I want a built in greenhouse off my kitchen so that I always have fresh vegetables and herbs all year round..</t>
        </is>
      </c>
    </row>
    <row r="2852">
      <c r="A2852" t="n">
        <v>3151</v>
      </c>
      <c r="B2852" t="inlineStr">
        <is>
          <t>As a home occupant I want smart locks so that can be save on energy costs.</t>
        </is>
      </c>
    </row>
    <row r="2853">
      <c r="A2853" t="n">
        <v>3152</v>
      </c>
      <c r="B2853" t="inlineStr">
        <is>
          <t>As a parent I want customizable scents to be pumped into the air  so that my children can be calmed and soothed at night, and i can freshen up my home at my command..</t>
        </is>
      </c>
    </row>
    <row r="2854">
      <c r="A2854" t="n">
        <v>3153</v>
      </c>
      <c r="B2854" t="inlineStr">
        <is>
          <t>As a home occupant I want a smart shower so that I can push a button and it will recognize who I am and adjust to my preferred temperature..</t>
        </is>
      </c>
    </row>
    <row r="2855">
      <c r="A2855" t="n">
        <v>3154</v>
      </c>
      <c r="B2855" t="inlineStr">
        <is>
          <t>As a home owner I want network outlets so that I wouldn't have to run them myself.</t>
        </is>
      </c>
    </row>
    <row r="2856">
      <c r="A2856" t="n">
        <v>3155</v>
      </c>
      <c r="B2856" t="inlineStr">
        <is>
          <t>As a home occupant I want Thermostat show temperature from across the room and give recommend to heat or cool the room so that can be save on energy costs.</t>
        </is>
      </c>
    </row>
    <row r="2857">
      <c r="A2857" t="n">
        <v>3156</v>
      </c>
      <c r="B2857" t="inlineStr">
        <is>
          <t>As a home owner I want oven sensor so that I know if I left my oven on when I am not home..</t>
        </is>
      </c>
    </row>
    <row r="2858">
      <c r="A2858" t="n">
        <v>3157</v>
      </c>
      <c r="B2858" t="inlineStr">
        <is>
          <t>As a beverage drinker I want an ice maker that makes programable ice cube shapes so that I can have a variety of cool ice cubes..</t>
        </is>
      </c>
    </row>
    <row r="2859">
      <c r="A2859" t="n">
        <v>3158</v>
      </c>
      <c r="B2859" t="inlineStr">
        <is>
          <t>As a pet owner I want food and water to be refreshened daily so that my pet is getting the best at all times, health and taste wise..</t>
        </is>
      </c>
    </row>
    <row r="2860">
      <c r="A2860" t="n">
        <v>3159</v>
      </c>
      <c r="B2860" t="inlineStr">
        <is>
          <t>As a home occupant I want a smart toilet so that I can be notified about different health-related things such as when I'm dehydrated.</t>
        </is>
      </c>
    </row>
    <row r="2861">
      <c r="A2861" t="n">
        <v>3160</v>
      </c>
      <c r="B2861" t="inlineStr">
        <is>
          <t>As a home occupant I want my smart home to have self-cleaning modes for all kitchen appliances so that I can cook at home more and be healthier.</t>
        </is>
      </c>
    </row>
    <row r="2862">
      <c r="A2862" t="n">
        <v>3161</v>
      </c>
      <c r="B2862" t="inlineStr">
        <is>
          <t>As a parent I want mart lights so that they are scheduled to dim at night or turn off when no one is in the room..</t>
        </is>
      </c>
    </row>
    <row r="2863">
      <c r="A2863" t="n">
        <v>3162</v>
      </c>
      <c r="B2863" t="inlineStr">
        <is>
          <t>As a a caretaker I want backup generator so that home dialysis wouldn't have to stop during an outtage .</t>
        </is>
      </c>
    </row>
    <row r="2864">
      <c r="A2864" t="n">
        <v>3163</v>
      </c>
      <c r="B2864" t="inlineStr">
        <is>
          <t>As a home occupant I want a programmable wall so that I can change a scenic view at a moments notice..</t>
        </is>
      </c>
    </row>
    <row r="2865">
      <c r="A2865" t="n">
        <v>3164</v>
      </c>
      <c r="B2865" t="inlineStr">
        <is>
          <t>As a person of this world I want a program where I can tag unwanted mail so that I no longer receive junk in the mail.</t>
        </is>
      </c>
    </row>
    <row r="2866">
      <c r="A2866" t="n">
        <v>3165</v>
      </c>
      <c r="B2866" t="inlineStr">
        <is>
          <t>As a pet owner I want my smart windows to have sensors that automatically close when an animal gets too close so that my pets will be safe..</t>
        </is>
      </c>
    </row>
    <row r="2867">
      <c r="A2867" t="n">
        <v>3166</v>
      </c>
      <c r="B2867" t="inlineStr">
        <is>
          <t>As a parent I want automated sharp furniture sensors, so that f my child nears such places, alarm goes off..</t>
        </is>
      </c>
    </row>
    <row r="2868">
      <c r="A2868" t="n">
        <v>3167</v>
      </c>
      <c r="B2868" t="inlineStr">
        <is>
          <t>As a pet owner I want an smartmachine to clean and refill my fish tank whenever the tank looks dirty so that I always keep my fish tank clean.</t>
        </is>
      </c>
    </row>
    <row r="2869">
      <c r="A2869" t="n">
        <v>3168</v>
      </c>
      <c r="B2869" t="inlineStr">
        <is>
          <t>As a movie watcher I want a remote that controls my lights, tv, other electronics so that I can control everything from one place..</t>
        </is>
      </c>
    </row>
    <row r="2870">
      <c r="A2870" t="n">
        <v>3169</v>
      </c>
      <c r="B2870" t="inlineStr">
        <is>
          <t>As a home occupant I want turn electronic devices on or off from anywhere I have an Internet connection., so that I can save energy. so that I can save energy..</t>
        </is>
      </c>
    </row>
    <row r="2871">
      <c r="A2871" t="n">
        <v>3170</v>
      </c>
      <c r="B2871" t="inlineStr">
        <is>
          <t>As a home occupant I want my smart home to have temperature controls for different areas of one room so that unused areas don't waste energy.</t>
        </is>
      </c>
    </row>
    <row r="2872">
      <c r="A2872" t="n">
        <v>3171</v>
      </c>
      <c r="B2872" t="inlineStr">
        <is>
          <t>As a gardener I want grey water collection system so that I could have a garden and minimize water consumption.</t>
        </is>
      </c>
    </row>
    <row r="2873">
      <c r="A2873" t="n">
        <v>3172</v>
      </c>
      <c r="B2873" t="inlineStr">
        <is>
          <t>As a home occupant I want a smart bed so that it adjusts tension to optimize comfort and posture..</t>
        </is>
      </c>
    </row>
    <row r="2874">
      <c r="A2874" t="n">
        <v>3173</v>
      </c>
      <c r="B2874" t="inlineStr">
        <is>
          <t>As a home occupant I want smart device to clean your windows automatically, so that can be save time..</t>
        </is>
      </c>
    </row>
    <row r="2875">
      <c r="A2875" t="n">
        <v>3175</v>
      </c>
      <c r="B2875" t="inlineStr">
        <is>
          <t>As a neighbor I want my smart home to alert neighbors to emergencies in my home so that they will be safe as well.</t>
        </is>
      </c>
    </row>
    <row r="2876">
      <c r="A2876" t="n">
        <v>3176</v>
      </c>
      <c r="B2876" t="inlineStr">
        <is>
          <t>As a home occupant I want a machine to tell me what allergens are in my home so that I can stay healthy.</t>
        </is>
      </c>
    </row>
    <row r="2877">
      <c r="A2877" t="n">
        <v>3177</v>
      </c>
      <c r="B2877" t="inlineStr">
        <is>
          <t>As a home owner I want windows that keep in theheat and keep out the cold so that comfort and energy conservation.</t>
        </is>
      </c>
    </row>
    <row r="2878">
      <c r="A2878" t="n">
        <v>3178</v>
      </c>
      <c r="B2878" t="inlineStr">
        <is>
          <t>As a home occupant I want my smart home to detect high dust/dirt levels and dispense cleaning tools so that my home will be cleaner and healthier.</t>
        </is>
      </c>
    </row>
    <row r="2879">
      <c r="A2879" t="n">
        <v>3179</v>
      </c>
      <c r="B2879" t="inlineStr">
        <is>
          <t>As a home owner I want a device that changes the temperature of the house to my comfort when I walk in or 30 minutes before I walk in.   so that I am comfortable when I walk in..</t>
        </is>
      </c>
    </row>
    <row r="2880">
      <c r="A2880" t="n">
        <v>3180</v>
      </c>
      <c r="B2880" t="inlineStr">
        <is>
          <t>As a housewife I want an control machine to switch off the gas stove by pressing the remote from anywhere so that I can save from dangerous situation.</t>
        </is>
      </c>
    </row>
    <row r="2881">
      <c r="A2881" t="n">
        <v>3181</v>
      </c>
      <c r="B2881" t="inlineStr">
        <is>
          <t>As a party person I want music to be played in every room so that everyone in the house can hear the music where ever they are..</t>
        </is>
      </c>
    </row>
    <row r="2882">
      <c r="A2882" t="n">
        <v>3182</v>
      </c>
      <c r="B2882" t="inlineStr">
        <is>
          <t>As a home occupant I want my smart home to have a payment system near the front door that can only be accessed by an occupant so that I can pay delivery drivers without opening the door and stay safe..</t>
        </is>
      </c>
    </row>
    <row r="2883">
      <c r="A2883" t="n">
        <v>3183</v>
      </c>
      <c r="B2883" t="inlineStr">
        <is>
          <t>As a home owner I want built in kitchen composter so that it can make composting simple.</t>
        </is>
      </c>
    </row>
    <row r="2884">
      <c r="A2884" t="n">
        <v>3184</v>
      </c>
      <c r="B2884" t="inlineStr">
        <is>
          <t>As a home occupant I want a smart dryer so that it can detect when clothes are shrinking, shut itself off, and alert me..</t>
        </is>
      </c>
    </row>
    <row r="2885">
      <c r="A2885" t="n">
        <v>3185</v>
      </c>
      <c r="B2885" t="inlineStr">
        <is>
          <t>As a parent I want a feature on outlets so that my children to do not play with outlets.</t>
        </is>
      </c>
    </row>
    <row r="2886">
      <c r="A2886" t="n">
        <v>3187</v>
      </c>
      <c r="B2886" t="inlineStr">
        <is>
          <t>As a home owner I want voice activated media system, like echo so that I could access media in every room.</t>
        </is>
      </c>
    </row>
    <row r="2887">
      <c r="A2887" t="n">
        <v>3188</v>
      </c>
      <c r="B2887" t="inlineStr">
        <is>
          <t>As a home owner I want an automatic lock whenever I leaves my home so that My house will be in very safe .</t>
        </is>
      </c>
    </row>
    <row r="2888">
      <c r="A2888" t="n">
        <v>3189</v>
      </c>
      <c r="B2888" t="inlineStr">
        <is>
          <t>As a home owner I want a device that let's me know how much energy I am using so that I can save money on utilities.</t>
        </is>
      </c>
    </row>
    <row r="2889">
      <c r="A2889" t="n">
        <v>3190</v>
      </c>
      <c r="B2889" t="inlineStr">
        <is>
          <t>As a busy woman I want voice activated online grocery ordering - similar to dash with a voice activated component so that can order groceries as I realize I'm running out of something.</t>
        </is>
      </c>
    </row>
    <row r="2890">
      <c r="A2890" t="n">
        <v>3191</v>
      </c>
      <c r="B2890" t="inlineStr">
        <is>
          <t>As a home occupant I want timer set up in my shower so that the water turns off when time is up. To save water..</t>
        </is>
      </c>
    </row>
    <row r="2891">
      <c r="A2891" t="n">
        <v>3192</v>
      </c>
      <c r="B2891" t="inlineStr">
        <is>
          <t>As a home owner I want a device that can charge electric cars so that guests can charge their car while they are at my house.</t>
        </is>
      </c>
    </row>
    <row r="2892">
      <c r="A2892" t="n">
        <v>3194</v>
      </c>
      <c r="B2892" t="inlineStr">
        <is>
          <t>As a pet owner I want web cam system, perhaps tracking system so that I can tell what my pets are up to when I'm at work.</t>
        </is>
      </c>
    </row>
    <row r="2893">
      <c r="A2893" t="n">
        <v>3195</v>
      </c>
      <c r="B2893" t="inlineStr">
        <is>
          <t>As a home owner I want a device that can control how bright or dim the lights are so that I can have the room as bright or dim as I want, depending on the mood or situation.</t>
        </is>
      </c>
    </row>
    <row r="2894">
      <c r="A2894" t="n">
        <v>3196</v>
      </c>
      <c r="B2894" t="inlineStr">
        <is>
          <t>As a home occupant I want security system that tracks my belongings so that I can keep an accurate inventory, assist the authorities if there is a theft, or remember to retrieve what I have loaned out.</t>
        </is>
      </c>
    </row>
    <row r="2895">
      <c r="A2895" t="n">
        <v>3197</v>
      </c>
      <c r="B2895" t="inlineStr">
        <is>
          <t>As a home occupant I want floors to be heated when it's cold so that my toes don't get cold.</t>
        </is>
      </c>
    </row>
    <row r="2896">
      <c r="A2896" t="n">
        <v>3198</v>
      </c>
      <c r="B2896" t="inlineStr">
        <is>
          <t>As a home occupant I want smart machine to clean my vessels in a neat way so that My vessels will be very clean to cook.</t>
        </is>
      </c>
    </row>
    <row r="2897">
      <c r="A2897" t="n">
        <v>3200</v>
      </c>
      <c r="B2897" t="inlineStr">
        <is>
          <t>As a home occupant I want the lights to automatically come on when it's dark so that I can see without having to work at it..</t>
        </is>
      </c>
    </row>
    <row r="2898">
      <c r="A2898" t="n">
        <v>3201</v>
      </c>
      <c r="B2898" t="inlineStr">
        <is>
          <t>As a home owner I want notification if the basement is flooding in the rain so that I can fix that problem as soon as possible, before damage can be done.</t>
        </is>
      </c>
    </row>
    <row r="2899">
      <c r="A2899" t="n">
        <v>3202</v>
      </c>
      <c r="B2899" t="inlineStr">
        <is>
          <t>As a home occupant I want Closet assistant so that it can help me program and choose outfits that are appropriate for the function and weather, and organize logistics for laundering.</t>
        </is>
      </c>
    </row>
    <row r="2900">
      <c r="A2900" t="n">
        <v>3203</v>
      </c>
      <c r="B2900" t="inlineStr">
        <is>
          <t>As a teacher I want an smart machine to keep track of my students activity so that I can well known about my students.</t>
        </is>
      </c>
    </row>
    <row r="2901">
      <c r="A2901" t="n">
        <v>3204</v>
      </c>
      <c r="B2901" t="inlineStr">
        <is>
          <t>As a home owner I want a device that cleans my bathroom, remotely so that I don't have to.</t>
        </is>
      </c>
    </row>
    <row r="2902">
      <c r="A2902" t="n">
        <v>3205</v>
      </c>
      <c r="B2902" t="inlineStr">
        <is>
          <t>As a parent I want a safe garage so that My cars stay locked in place if drivers are too intoxicated, affected, or underage to drive.</t>
        </is>
      </c>
    </row>
    <row r="2903">
      <c r="A2903" t="n">
        <v>3206</v>
      </c>
      <c r="B2903" t="inlineStr">
        <is>
          <t>As a energy saver I want wall chargers to only come on when I'm actually using them so that i can save energy and money.</t>
        </is>
      </c>
    </row>
    <row r="2904">
      <c r="A2904" t="n">
        <v>3207</v>
      </c>
      <c r="B2904" t="inlineStr">
        <is>
          <t>As a teacher I want an smart voice recognizing with writing machine to write the subjects automatically by recognizing my voice so that I can take some rest..</t>
        </is>
      </c>
    </row>
    <row r="2905">
      <c r="A2905" t="n">
        <v>3209</v>
      </c>
      <c r="B2905" t="inlineStr">
        <is>
          <t>As a parent I want the door to unlock by itself for my kids when they come home, but not anyone else so that They could get home without me being there more easily.</t>
        </is>
      </c>
    </row>
    <row r="2906">
      <c r="A2906" t="n">
        <v>3210</v>
      </c>
      <c r="B2906" t="inlineStr">
        <is>
          <t>As a energy saver I want a device that cools down any of my electronic devices so that they won't overheat.</t>
        </is>
      </c>
    </row>
    <row r="2907">
      <c r="A2907" t="n">
        <v>3211</v>
      </c>
      <c r="B2907" t="inlineStr">
        <is>
          <t>As a home occupant I want a self-cleaning, smart bidet so that I can stay fresh, save the environment, and never have to clean the toilet again.</t>
        </is>
      </c>
    </row>
    <row r="2908">
      <c r="A2908" t="n">
        <v>3212</v>
      </c>
      <c r="B2908" t="inlineStr">
        <is>
          <t>As a home occupant I want walls that can move my mounted TVs around so that I can watch TV anywhere in the house.</t>
        </is>
      </c>
    </row>
    <row r="2909">
      <c r="A2909" t="n">
        <v>3213</v>
      </c>
      <c r="B2909" t="inlineStr">
        <is>
          <t>As a home owner I want a device that can greet me and hold conversations with me in any room in the house and in the yard so that I can be entertained and have answers to questions..</t>
        </is>
      </c>
    </row>
    <row r="2910">
      <c r="A2910" t="n">
        <v>3215</v>
      </c>
      <c r="B2910" t="inlineStr">
        <is>
          <t>As a bachelor I want a device that can emit nice fragrances when I have a female date over. so that women can feel more comfortable when they come to my house..</t>
        </is>
      </c>
    </row>
    <row r="2911">
      <c r="A2911" t="n">
        <v>3217</v>
      </c>
      <c r="B2911" t="inlineStr">
        <is>
          <t>As a consumer I want a Refrigerator that can display what the best prices in my area are for food I'm running low on so that I know where to go shopping for this food that day.</t>
        </is>
      </c>
    </row>
    <row r="2912">
      <c r="A2912" t="n">
        <v>3219</v>
      </c>
      <c r="B2912" t="inlineStr">
        <is>
          <t>As a home occupant I want dynamic climate control that heats me up when I'm cold, then brings me back to a normal temp so that I can always be comfortable and save moneyon heating.</t>
        </is>
      </c>
    </row>
    <row r="2913">
      <c r="A2913" t="n">
        <v>3221</v>
      </c>
      <c r="B2913" t="inlineStr">
        <is>
          <t>As a pet owner I want something that can throw pet toys around when I'm not around so that my dog can have fun without me!.</t>
        </is>
      </c>
    </row>
    <row r="2914">
      <c r="A2914" t="n">
        <v>3222</v>
      </c>
      <c r="B2914" t="inlineStr">
        <is>
          <t>As a home occupant I want Dishwasher cabinet so that I can clean and store my most frequently used dishes in the same space..</t>
        </is>
      </c>
    </row>
    <row r="2915">
      <c r="A2915" t="n">
        <v>3223</v>
      </c>
      <c r="B2915" t="inlineStr">
        <is>
          <t>As a home occupant I want a fireplace that starts itself automatically when appropriate so that I don't have to deal with wood and opening an open flame to my living room.</t>
        </is>
      </c>
    </row>
    <row r="2916">
      <c r="A2916" t="n">
        <v>3224</v>
      </c>
      <c r="B2916" t="inlineStr">
        <is>
          <t>As a home owner I want weather notifications sent to my bedroom in the morning so that I can wake up and start planning my day.</t>
        </is>
      </c>
    </row>
    <row r="2917">
      <c r="A2917" t="n">
        <v>3225</v>
      </c>
      <c r="B2917" t="inlineStr">
        <is>
          <t>As a parent I want soft lullaby music to play when I enter the nursery with my child so that my baby will stay asleep.</t>
        </is>
      </c>
    </row>
    <row r="2918">
      <c r="A2918" t="n">
        <v>3226</v>
      </c>
      <c r="B2918" t="inlineStr">
        <is>
          <t>As a home occupant I want a pet door that will open for my pet and lock afterwards so that my pet can go potty but my home is secure..</t>
        </is>
      </c>
    </row>
    <row r="2919">
      <c r="A2919" t="n">
        <v>3227</v>
      </c>
      <c r="B2919" t="inlineStr">
        <is>
          <t>As a home occupant I want my curtains or blinds to sense the sun and go down automatically if it's facing their side of the house so that my home will stay cooler in the summer.</t>
        </is>
      </c>
    </row>
    <row r="2920">
      <c r="A2920" t="n">
        <v>3228</v>
      </c>
      <c r="B2920" t="inlineStr">
        <is>
          <t>As a home owner I want a sensor on the back door that can see when my dog needs to go outside so that my dog can let herself out whenever she'd like to get some fresh air, but the door can stay locked otherwise..</t>
        </is>
      </c>
    </row>
    <row r="2921">
      <c r="A2921" t="n">
        <v>3229</v>
      </c>
      <c r="B2921" t="inlineStr">
        <is>
          <t>As a home occupant I want my television to automatically turn on if there's urgent news so that I will know of any weather hazards or other dangers in the area..</t>
        </is>
      </c>
    </row>
    <row r="2922">
      <c r="A2922" t="n">
        <v>3230</v>
      </c>
      <c r="B2922" t="inlineStr">
        <is>
          <t>As a cleaner I want a dryer that can tell when clothes are dry and shut itself off so that if I set the timer for longer than needed, I can save electricity..</t>
        </is>
      </c>
    </row>
    <row r="2923">
      <c r="A2923" t="n">
        <v>3231</v>
      </c>
      <c r="B2923" t="inlineStr">
        <is>
          <t>As a home owner I want a floor heater on a timer so that my floors aren't heated all night when nobody is using them, but are nice and warm when I wake up..</t>
        </is>
      </c>
    </row>
    <row r="2924">
      <c r="A2924" t="n">
        <v>3232</v>
      </c>
      <c r="B2924" t="inlineStr">
        <is>
          <t>As a home occupant I want the toilet seat to sense when my husband is done and to go down automatically so that I don't have to lower it myself.</t>
        </is>
      </c>
    </row>
    <row r="2925">
      <c r="A2925" t="n">
        <v>3233</v>
      </c>
      <c r="B2925" t="inlineStr">
        <is>
          <t>As a home owner I want lights that I can set to preset timers so that my house looks like someone is home when I am on vacation..</t>
        </is>
      </c>
    </row>
    <row r="2926">
      <c r="A2926" t="n">
        <v>3234</v>
      </c>
      <c r="B2926" t="inlineStr">
        <is>
          <t>As a home owner I want a meter that can log how much water I use for things and breakdown where I can save water so that I am not wasting water..</t>
        </is>
      </c>
    </row>
    <row r="2927">
      <c r="A2927" t="n">
        <v>3235</v>
      </c>
      <c r="B2927" t="inlineStr">
        <is>
          <t>As a home owner I want lights on sensors outside so that people trying to break in are scared away by the sudden attention..</t>
        </is>
      </c>
    </row>
    <row r="2928">
      <c r="A2928" t="n">
        <v>3236</v>
      </c>
      <c r="B2928" t="inlineStr">
        <is>
          <t>As a parent I want a timer on my TV that automatically starts when turned on so that my children don't watch TV all day..</t>
        </is>
      </c>
    </row>
    <row r="2929">
      <c r="A2929" t="n">
        <v>3237</v>
      </c>
      <c r="B2929" t="inlineStr">
        <is>
          <t>As a home occupant I want my closet to put forth clothing that is appropriate for the weather so that I don't have to dig out the clothes I need, saving me time..</t>
        </is>
      </c>
    </row>
    <row r="2930">
      <c r="A2930" t="n">
        <v>3238</v>
      </c>
      <c r="B2930" t="inlineStr">
        <is>
          <t>As a home owner I want cameras that turn on when someone pulls into the driveway and shows me who is coming so that I can be prepared for visitors/intruders..</t>
        </is>
      </c>
    </row>
    <row r="2931">
      <c r="A2931" t="n">
        <v>3239</v>
      </c>
      <c r="B2931" t="inlineStr">
        <is>
          <t>As a cook I want a way to monitor what is in my oven when I'm in other rooms of the house so that I can prevent things from overcooking when I get distracted with other things..</t>
        </is>
      </c>
    </row>
    <row r="2932">
      <c r="A2932" t="n">
        <v>3240</v>
      </c>
      <c r="B2932" t="inlineStr">
        <is>
          <t>As a home owner I want a way to track chores around the house, such as when I watered the lawn, when I last changed the dog's water bowl, etc. so that I keep up to date on keeping the house clean without forgetting certain chores..</t>
        </is>
      </c>
    </row>
    <row r="2933">
      <c r="A2933" t="n">
        <v>3241</v>
      </c>
      <c r="B2933" t="inlineStr">
        <is>
          <t>As a parent I want set universal locks on all cell phones, tablets, and video games in the home during certain periods so that my children wouldn't be able to sneak away from bed or during homework to play around..</t>
        </is>
      </c>
    </row>
    <row r="2934">
      <c r="A2934" t="n">
        <v>3242</v>
      </c>
      <c r="B2934" t="inlineStr">
        <is>
          <t>As a home owner I want something to track when I need to fix something on the house that I can't normally see, such as clogged gutters or a problem with the roof so that my house stays in great shape..</t>
        </is>
      </c>
    </row>
    <row r="2935">
      <c r="A2935" t="n">
        <v>3243</v>
      </c>
      <c r="B2935" t="inlineStr">
        <is>
          <t>As a home occupant I want a tub that can sense how much water is in it and shuts off at a certain level so that my children don't accidentally over fill the tub and cause a flood..</t>
        </is>
      </c>
    </row>
    <row r="2936">
      <c r="A2936" t="n">
        <v>3244</v>
      </c>
      <c r="B2936" t="inlineStr">
        <is>
          <t>As a home occupant I want my house to sense me driving into the drive and automatically open the garage door so that I can save time by just driving in .</t>
        </is>
      </c>
    </row>
    <row r="2937">
      <c r="A2937" t="n">
        <v>3245</v>
      </c>
      <c r="B2937" t="inlineStr">
        <is>
          <t>As a home occupant I want the lights to slowly turn off if it senses no occupants in the room so that I can save electricity.</t>
        </is>
      </c>
    </row>
    <row r="2938">
      <c r="A2938" t="n">
        <v>3247</v>
      </c>
      <c r="B2938" t="inlineStr">
        <is>
          <t>As a parent I want my smart home to sense when it is nighttime and my baby cries it will bring the lights up dimly  so that I can not trip as I get out of bed to check on the baby..</t>
        </is>
      </c>
    </row>
    <row r="2939">
      <c r="A2939" t="n">
        <v>3248</v>
      </c>
      <c r="B2939" t="inlineStr">
        <is>
          <t>As a home occupant I want my smart home to sense when I have come home from a stressful day at work and automatically draw me a tub to the perfect temperature and add bath salts and light electric candles and dim the bathroom lights. so that I can relax and get rid of all my stress by soaking in the tub..</t>
        </is>
      </c>
    </row>
    <row r="2940">
      <c r="A2940" t="n">
        <v>3249</v>
      </c>
      <c r="B2940" t="inlineStr">
        <is>
          <t>As a home owner I want lights that can sense when someone is in the room and turn off when they leave and turn on when someone comes in the room, but also be able to sense when someone is in bed and not turn on, so that I can save money on electricity..</t>
        </is>
      </c>
    </row>
    <row r="2941">
      <c r="A2941" t="n">
        <v>3250</v>
      </c>
      <c r="B2941" t="inlineStr">
        <is>
          <t>As a tv viewer I want a TV that is calibrated to my interests and always brings up the show that I want to watch when I want to watch it so that I can always be entertained and not have to channel surf and be bored..</t>
        </is>
      </c>
    </row>
    <row r="2942">
      <c r="A2942" t="n">
        <v>3251</v>
      </c>
      <c r="B2942" t="inlineStr">
        <is>
          <t>As a car owner I want a station that can automatically make biodiesel for my car so that I can have really cheap gasoline to power my car..</t>
        </is>
      </c>
    </row>
    <row r="2943">
      <c r="A2943" t="n">
        <v>3252</v>
      </c>
      <c r="B2943" t="inlineStr">
        <is>
          <t>As a parent I want a small robot that is integrated into the house to sense when the floor is dirty and to clean it and when necessary mop it so that whenever my child spills on the floor during a meal it will come out and keep my floor clean and make it so I don't trip..</t>
        </is>
      </c>
    </row>
    <row r="2944">
      <c r="A2944" t="n">
        <v>3253</v>
      </c>
      <c r="B2944" t="inlineStr">
        <is>
          <t>As a parent I want a room that is interactive with kids where the walls are TV screens to immerse kids in whatever program I want them to view so that they can pretend they are deep in the Arctic or on a jungle adventure. so that my kids can have lots of fun..</t>
        </is>
      </c>
    </row>
    <row r="2945">
      <c r="A2945" t="n">
        <v>3254</v>
      </c>
      <c r="B2945" t="inlineStr">
        <is>
          <t>As a parent I want walls that are waterproof and mess proof and can not be destroyed so that my children can't draw on them or damage them in any way..</t>
        </is>
      </c>
    </row>
    <row r="2946">
      <c r="A2946" t="n">
        <v>3255</v>
      </c>
      <c r="B2946" t="inlineStr">
        <is>
          <t>As a parent I want a playroom that my kids can play in that has a changeable play structure that can rebuild itself to suit my children's interest and ages so that my kids can have fun and I do not have to continually buy new toys..</t>
        </is>
      </c>
    </row>
    <row r="2947">
      <c r="A2947" t="n">
        <v>3256</v>
      </c>
      <c r="B2947" t="inlineStr">
        <is>
          <t>As a pet owner I want a walking machine that will walk my dog so that my dog can stay healthy..</t>
        </is>
      </c>
    </row>
    <row r="2948">
      <c r="A2948" t="n">
        <v>3257</v>
      </c>
      <c r="B2948" t="inlineStr">
        <is>
          <t>As a home occupant I want smart thermometer so that I can remotely control the temperature at home.</t>
        </is>
      </c>
    </row>
    <row r="2949">
      <c r="A2949" t="n">
        <v>3258</v>
      </c>
      <c r="B2949" t="inlineStr">
        <is>
          <t>As a parent I want to have monitoring videos so that I can see what the children are doing when I am away from them..</t>
        </is>
      </c>
    </row>
    <row r="2950">
      <c r="A2950" t="n">
        <v>3259</v>
      </c>
      <c r="B2950" t="inlineStr">
        <is>
          <t>As a home occupant I want have remote control for windows and blinds so that I can adjust the lights remotely..</t>
        </is>
      </c>
    </row>
    <row r="2951">
      <c r="A2951" t="n">
        <v>3260</v>
      </c>
      <c r="B2951" t="inlineStr">
        <is>
          <t>As a plant owner I want to receive a notification from smartphone so that I know when the plant needs nutrition..</t>
        </is>
      </c>
    </row>
    <row r="2952">
      <c r="A2952" t="n">
        <v>3261</v>
      </c>
      <c r="B2952" t="inlineStr">
        <is>
          <t>As a home occupant I want to be able to control all the stoves by smartphone. so that I can turn on/off even I am not home..</t>
        </is>
      </c>
    </row>
    <row r="2953">
      <c r="A2953" t="n">
        <v>3262</v>
      </c>
      <c r="B2953" t="inlineStr">
        <is>
          <t>As a music lover I want to have a system to select song for me at different time. so that I can listen to the right music that help me doing things, like sleep..</t>
        </is>
      </c>
    </row>
    <row r="2954">
      <c r="A2954" t="n">
        <v>3263</v>
      </c>
      <c r="B2954" t="inlineStr">
        <is>
          <t>As a home occupant I want have an automatic humid controller so that I can live under the right humid..</t>
        </is>
      </c>
    </row>
    <row r="2955">
      <c r="A2955" t="n">
        <v>3264</v>
      </c>
      <c r="B2955" t="inlineStr">
        <is>
          <t>As a home occupant I want have a electric lift. so that I can get up/down stairs easier..</t>
        </is>
      </c>
    </row>
    <row r="2956">
      <c r="A2956" t="n">
        <v>3265</v>
      </c>
      <c r="B2956" t="inlineStr">
        <is>
          <t>As a parent I want to have a entertaining system good for kids  so that I can spend time with them more..</t>
        </is>
      </c>
    </row>
    <row r="2957">
      <c r="A2957" t="n">
        <v>3266</v>
      </c>
      <c r="B2957" t="inlineStr">
        <is>
          <t>As a home occupant I want to have a notification to my smartphone about energy use and rate. so that I can save energy and use it at the best time..</t>
        </is>
      </c>
    </row>
    <row r="2958">
      <c r="A2958" t="n">
        <v>3267</v>
      </c>
      <c r="B2958" t="inlineStr">
        <is>
          <t>As a cook I want the house to detect when there is smoke and shut off the appropriate appliances so that I don't burning anything down.</t>
        </is>
      </c>
    </row>
    <row r="2959">
      <c r="A2959" t="n">
        <v>3268</v>
      </c>
      <c r="B2959" t="inlineStr">
        <is>
          <t>As a home owner I want the house to lock, cameras turned on, and the police notified when there is a break in so that the culprit takes nothing and is caught.</t>
        </is>
      </c>
    </row>
    <row r="2960">
      <c r="A2960" t="n">
        <v>3269</v>
      </c>
      <c r="B2960" t="inlineStr">
        <is>
          <t>As a home owner I want my fridge to detect when food spoils so that I don't get sick from it.</t>
        </is>
      </c>
    </row>
    <row r="2961">
      <c r="A2961" t="n">
        <v>3270</v>
      </c>
      <c r="B2961" t="inlineStr">
        <is>
          <t>As a parent I want the television to turn on when I sit on the couch, and the channel turned to my favorite show so that it makes the viewing experience better.</t>
        </is>
      </c>
    </row>
    <row r="2962">
      <c r="A2962" t="n">
        <v>3271</v>
      </c>
      <c r="B2962" t="inlineStr">
        <is>
          <t>As a person I want to stop electricity to certain outlets that no longer need it, like when a phone is done charging so that I consume less electricity for the environment.</t>
        </is>
      </c>
    </row>
    <row r="2963">
      <c r="A2963" t="n">
        <v>3272</v>
      </c>
      <c r="B2963" t="inlineStr">
        <is>
          <t>As a pet owner I want the house to detect if my cat or dog is trying to run out of a door left open so that they don't run away.</t>
        </is>
      </c>
    </row>
    <row r="2964">
      <c r="A2964" t="n">
        <v>3273</v>
      </c>
      <c r="B2964" t="inlineStr">
        <is>
          <t>As a parent I want the house to notify me when my children are home alone for more than 20 minutes so that they stay safe.</t>
        </is>
      </c>
    </row>
    <row r="2965">
      <c r="A2965" t="n">
        <v>3274</v>
      </c>
      <c r="B2965" t="inlineStr">
        <is>
          <t>As a parent I want cameras on the outside to detect if suspicious characters like to linger outside my home so that everyone stays safe inside.</t>
        </is>
      </c>
    </row>
    <row r="2966">
      <c r="A2966" t="n">
        <v>3275</v>
      </c>
      <c r="B2966" t="inlineStr">
        <is>
          <t>As a home owner I want the house to notify me when the structural integrity of the house is in danger, such as leaks or rotting wood so that the house remains safe and habitable .</t>
        </is>
      </c>
    </row>
    <row r="2967">
      <c r="A2967" t="n">
        <v>3276</v>
      </c>
      <c r="B2967" t="inlineStr">
        <is>
          <t>As a home occupant I want the house to notify me if I am alone so that I avoid any enjoy time alone without any potentially awkward moments.</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2021-09-28T03:13:14Z</dcterms:created>
  <dcterms:modified xsi:type="dcterms:W3CDTF">2021-09-28T03:13:14Z</dcterms:modified>
</cp:coreProperties>
</file>