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ale PhD\18 COO buried vs surface Project\Public Repository\"/>
    </mc:Choice>
  </mc:AlternateContent>
  <xr:revisionPtr revIDLastSave="0" documentId="13_ncr:1_{70CC45C6-7022-4F5E-B9E0-9790F3091914}" xr6:coauthVersionLast="45" xr6:coauthVersionMax="45" xr10:uidLastSave="{00000000-0000-0000-0000-000000000000}"/>
  <bookViews>
    <workbookView xWindow="28680" yWindow="-120" windowWidth="25440" windowHeight="15390" xr2:uid="{A005273A-B547-458E-A154-D64739AE9BBB}"/>
  </bookViews>
  <sheets>
    <sheet name="PIP Layers Na2SO4" sheetId="1" r:id="rId1"/>
    <sheet name="PIP Layers NaCl" sheetId="3" r:id="rId2"/>
    <sheet name="NF270 NaCl" sheetId="4" r:id="rId3"/>
    <sheet name="NF270 NaNO3" sheetId="6" r:id="rId4"/>
    <sheet name="PWP" sheetId="10" r:id="rId5"/>
    <sheet name="NF270 Na2SO4" sheetId="5" r:id="rId6"/>
    <sheet name="CarbvRej" sheetId="7" r:id="rId7"/>
    <sheet name="CarbvSelec" sheetId="9" r:id="rId8"/>
    <sheet name="B values" sheetId="11" r:id="rId9"/>
  </sheets>
  <definedNames>
    <definedName name="solver_adj" localSheetId="4" hidden="1">PWP!$F$28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PWP!$G$34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0" l="1"/>
  <c r="G39" i="10"/>
  <c r="R70" i="11" l="1"/>
  <c r="R69" i="11"/>
  <c r="R68" i="11"/>
  <c r="R67" i="11"/>
  <c r="R52" i="11"/>
  <c r="R51" i="11"/>
  <c r="R50" i="11"/>
  <c r="R49" i="11"/>
  <c r="R34" i="11"/>
  <c r="R33" i="11"/>
  <c r="R32" i="11"/>
  <c r="R31" i="11"/>
  <c r="R16" i="11"/>
  <c r="R15" i="11"/>
  <c r="R14" i="11"/>
  <c r="R13" i="11"/>
  <c r="R8" i="11"/>
  <c r="R7" i="11"/>
  <c r="R6" i="11"/>
  <c r="R5" i="11"/>
  <c r="H9" i="9" l="1"/>
  <c r="E3" i="11" l="1"/>
  <c r="E70" i="11"/>
  <c r="E69" i="11"/>
  <c r="E68" i="11"/>
  <c r="E67" i="11"/>
  <c r="E66" i="11"/>
  <c r="E65" i="11"/>
  <c r="E62" i="11"/>
  <c r="E61" i="11"/>
  <c r="E60" i="11"/>
  <c r="E59" i="11"/>
  <c r="E58" i="11"/>
  <c r="E57" i="11"/>
  <c r="E52" i="11"/>
  <c r="E51" i="11"/>
  <c r="E50" i="11"/>
  <c r="E49" i="11"/>
  <c r="E48" i="11"/>
  <c r="E47" i="11"/>
  <c r="E44" i="11"/>
  <c r="E43" i="11"/>
  <c r="E42" i="11"/>
  <c r="E41" i="11"/>
  <c r="E40" i="11"/>
  <c r="E39" i="11"/>
  <c r="E34" i="11"/>
  <c r="E33" i="11"/>
  <c r="E32" i="11"/>
  <c r="E31" i="11"/>
  <c r="E30" i="11"/>
  <c r="E29" i="11"/>
  <c r="E26" i="11"/>
  <c r="E25" i="11"/>
  <c r="E24" i="11"/>
  <c r="E23" i="11"/>
  <c r="E22" i="11"/>
  <c r="E21" i="11"/>
  <c r="E13" i="11"/>
  <c r="F13" i="11" s="1"/>
  <c r="H13" i="11" s="1"/>
  <c r="E11" i="11"/>
  <c r="G11" i="11" s="1"/>
  <c r="I11" i="11" s="1"/>
  <c r="J11" i="11" s="1"/>
  <c r="E12" i="11"/>
  <c r="G12" i="11" s="1"/>
  <c r="I12" i="11" s="1"/>
  <c r="J12" i="11" s="1"/>
  <c r="E4" i="11"/>
  <c r="E16" i="11"/>
  <c r="G16" i="11" s="1"/>
  <c r="I16" i="11" s="1"/>
  <c r="J16" i="11" s="1"/>
  <c r="E15" i="11"/>
  <c r="G15" i="11" s="1"/>
  <c r="I15" i="11" s="1"/>
  <c r="J15" i="11" s="1"/>
  <c r="E14" i="11"/>
  <c r="G14" i="11" s="1"/>
  <c r="I14" i="11" s="1"/>
  <c r="J14" i="11" s="1"/>
  <c r="E8" i="11"/>
  <c r="E7" i="11"/>
  <c r="E6" i="11"/>
  <c r="F6" i="11" s="1"/>
  <c r="H6" i="11" s="1"/>
  <c r="E5" i="11"/>
  <c r="F8" i="9"/>
  <c r="F3" i="11" l="1"/>
  <c r="H3" i="11" s="1"/>
  <c r="F57" i="11"/>
  <c r="F58" i="11"/>
  <c r="F59" i="11"/>
  <c r="F60" i="11"/>
  <c r="F61" i="11"/>
  <c r="F62" i="11"/>
  <c r="F65" i="11"/>
  <c r="F66" i="11"/>
  <c r="F67" i="11"/>
  <c r="F68" i="11"/>
  <c r="F69" i="11"/>
  <c r="F70" i="11"/>
  <c r="G57" i="11"/>
  <c r="I57" i="11" s="1"/>
  <c r="J57" i="11" s="1"/>
  <c r="K57" i="11" s="1"/>
  <c r="R57" i="11" s="1"/>
  <c r="G58" i="11"/>
  <c r="I58" i="11" s="1"/>
  <c r="J58" i="11" s="1"/>
  <c r="K58" i="11" s="1"/>
  <c r="R58" i="11" s="1"/>
  <c r="S58" i="11" s="1"/>
  <c r="G59" i="11"/>
  <c r="I59" i="11" s="1"/>
  <c r="J59" i="11" s="1"/>
  <c r="K59" i="11" s="1"/>
  <c r="G60" i="11"/>
  <c r="I60" i="11" s="1"/>
  <c r="J60" i="11" s="1"/>
  <c r="K60" i="11" s="1"/>
  <c r="R60" i="11" s="1"/>
  <c r="G61" i="11"/>
  <c r="I61" i="11" s="1"/>
  <c r="J61" i="11" s="1"/>
  <c r="K61" i="11" s="1"/>
  <c r="R61" i="11" s="1"/>
  <c r="G62" i="11"/>
  <c r="I62" i="11" s="1"/>
  <c r="J62" i="11" s="1"/>
  <c r="K62" i="11" s="1"/>
  <c r="R62" i="11" s="1"/>
  <c r="G65" i="11"/>
  <c r="I65" i="11" s="1"/>
  <c r="J65" i="11" s="1"/>
  <c r="K65" i="11" s="1"/>
  <c r="G66" i="11"/>
  <c r="I66" i="11" s="1"/>
  <c r="J66" i="11" s="1"/>
  <c r="K66" i="11" s="1"/>
  <c r="G67" i="11"/>
  <c r="I67" i="11" s="1"/>
  <c r="J67" i="11" s="1"/>
  <c r="K67" i="11" s="1"/>
  <c r="N67" i="11" s="1"/>
  <c r="P67" i="11" s="1"/>
  <c r="G68" i="11"/>
  <c r="I68" i="11" s="1"/>
  <c r="J68" i="11" s="1"/>
  <c r="K68" i="11" s="1"/>
  <c r="G69" i="11"/>
  <c r="I69" i="11" s="1"/>
  <c r="J69" i="11" s="1"/>
  <c r="K69" i="11" s="1"/>
  <c r="G70" i="11"/>
  <c r="I70" i="11" s="1"/>
  <c r="J70" i="11" s="1"/>
  <c r="K70" i="11" s="1"/>
  <c r="F39" i="11"/>
  <c r="F40" i="11"/>
  <c r="F41" i="11"/>
  <c r="F42" i="11"/>
  <c r="F43" i="11"/>
  <c r="F44" i="11"/>
  <c r="F47" i="11"/>
  <c r="F48" i="11"/>
  <c r="F49" i="11"/>
  <c r="F50" i="11"/>
  <c r="F51" i="11"/>
  <c r="F52" i="11"/>
  <c r="G39" i="11"/>
  <c r="I39" i="11" s="1"/>
  <c r="J39" i="11" s="1"/>
  <c r="K39" i="11" s="1"/>
  <c r="R39" i="11" s="1"/>
  <c r="G40" i="11"/>
  <c r="I40" i="11" s="1"/>
  <c r="J40" i="11" s="1"/>
  <c r="K40" i="11" s="1"/>
  <c r="R40" i="11" s="1"/>
  <c r="S40" i="11" s="1"/>
  <c r="G41" i="11"/>
  <c r="I41" i="11" s="1"/>
  <c r="J41" i="11" s="1"/>
  <c r="K41" i="11" s="1"/>
  <c r="G42" i="11"/>
  <c r="I42" i="11" s="1"/>
  <c r="J42" i="11" s="1"/>
  <c r="K42" i="11" s="1"/>
  <c r="G43" i="11"/>
  <c r="I43" i="11" s="1"/>
  <c r="J43" i="11" s="1"/>
  <c r="K43" i="11" s="1"/>
  <c r="G44" i="11"/>
  <c r="I44" i="11" s="1"/>
  <c r="J44" i="11" s="1"/>
  <c r="K44" i="11" s="1"/>
  <c r="G47" i="11"/>
  <c r="I47" i="11" s="1"/>
  <c r="J47" i="11" s="1"/>
  <c r="K47" i="11" s="1"/>
  <c r="G48" i="11"/>
  <c r="I48" i="11" s="1"/>
  <c r="J48" i="11" s="1"/>
  <c r="K48" i="11" s="1"/>
  <c r="G49" i="11"/>
  <c r="I49" i="11" s="1"/>
  <c r="J49" i="11" s="1"/>
  <c r="K49" i="11" s="1"/>
  <c r="N49" i="11" s="1"/>
  <c r="P49" i="11" s="1"/>
  <c r="G50" i="11"/>
  <c r="I50" i="11" s="1"/>
  <c r="J50" i="11" s="1"/>
  <c r="K50" i="11" s="1"/>
  <c r="G51" i="11"/>
  <c r="I51" i="11" s="1"/>
  <c r="J51" i="11" s="1"/>
  <c r="K51" i="11" s="1"/>
  <c r="G52" i="11"/>
  <c r="I52" i="11" s="1"/>
  <c r="J52" i="11" s="1"/>
  <c r="K52" i="11" s="1"/>
  <c r="F21" i="11"/>
  <c r="F22" i="11"/>
  <c r="F23" i="11"/>
  <c r="F24" i="11"/>
  <c r="F25" i="11"/>
  <c r="F26" i="11"/>
  <c r="F29" i="11"/>
  <c r="F30" i="11"/>
  <c r="F31" i="11"/>
  <c r="F32" i="11"/>
  <c r="F33" i="11"/>
  <c r="F34" i="11"/>
  <c r="G21" i="11"/>
  <c r="I21" i="11" s="1"/>
  <c r="J21" i="11" s="1"/>
  <c r="K21" i="11" s="1"/>
  <c r="R21" i="11" s="1"/>
  <c r="G22" i="11"/>
  <c r="I22" i="11" s="1"/>
  <c r="J22" i="11" s="1"/>
  <c r="K22" i="11" s="1"/>
  <c r="R22" i="11" s="1"/>
  <c r="S22" i="11" s="1"/>
  <c r="G23" i="11"/>
  <c r="I23" i="11" s="1"/>
  <c r="J23" i="11" s="1"/>
  <c r="K23" i="11" s="1"/>
  <c r="G24" i="11"/>
  <c r="I24" i="11" s="1"/>
  <c r="J24" i="11" s="1"/>
  <c r="K24" i="11" s="1"/>
  <c r="G25" i="11"/>
  <c r="I25" i="11" s="1"/>
  <c r="J25" i="11" s="1"/>
  <c r="K25" i="11" s="1"/>
  <c r="G26" i="11"/>
  <c r="I26" i="11" s="1"/>
  <c r="J26" i="11" s="1"/>
  <c r="K26" i="11" s="1"/>
  <c r="G29" i="11"/>
  <c r="I29" i="11" s="1"/>
  <c r="J29" i="11" s="1"/>
  <c r="K29" i="11" s="1"/>
  <c r="G30" i="11"/>
  <c r="I30" i="11" s="1"/>
  <c r="J30" i="11" s="1"/>
  <c r="K30" i="11" s="1"/>
  <c r="G31" i="11"/>
  <c r="I31" i="11" s="1"/>
  <c r="J31" i="11" s="1"/>
  <c r="K31" i="11" s="1"/>
  <c r="N31" i="11" s="1"/>
  <c r="P31" i="11" s="1"/>
  <c r="G32" i="11"/>
  <c r="I32" i="11" s="1"/>
  <c r="J32" i="11" s="1"/>
  <c r="K32" i="11" s="1"/>
  <c r="G33" i="11"/>
  <c r="I33" i="11" s="1"/>
  <c r="J33" i="11" s="1"/>
  <c r="K33" i="11" s="1"/>
  <c r="G34" i="11"/>
  <c r="I34" i="11" s="1"/>
  <c r="J34" i="11" s="1"/>
  <c r="K34" i="11" s="1"/>
  <c r="G13" i="11"/>
  <c r="I13" i="11" s="1"/>
  <c r="J13" i="11" s="1"/>
  <c r="L13" i="11" s="1"/>
  <c r="F16" i="11"/>
  <c r="H16" i="11" s="1"/>
  <c r="F15" i="11"/>
  <c r="H15" i="11" s="1"/>
  <c r="G6" i="11"/>
  <c r="I6" i="11" s="1"/>
  <c r="F14" i="11"/>
  <c r="H14" i="11" s="1"/>
  <c r="F12" i="11"/>
  <c r="H12" i="11" s="1"/>
  <c r="F11" i="11"/>
  <c r="K12" i="11"/>
  <c r="K11" i="11"/>
  <c r="K16" i="11"/>
  <c r="K14" i="11"/>
  <c r="K15" i="11"/>
  <c r="J6" i="11"/>
  <c r="K6" i="11" s="1"/>
  <c r="G5" i="11"/>
  <c r="I5" i="11" s="1"/>
  <c r="F5" i="11"/>
  <c r="G8" i="11"/>
  <c r="I8" i="11" s="1"/>
  <c r="G4" i="11"/>
  <c r="I4" i="11" s="1"/>
  <c r="F8" i="11"/>
  <c r="F4" i="11"/>
  <c r="G3" i="11"/>
  <c r="I3" i="11" s="1"/>
  <c r="G7" i="11"/>
  <c r="I7" i="11" s="1"/>
  <c r="F7" i="11"/>
  <c r="G30" i="10"/>
  <c r="F30" i="10"/>
  <c r="J30" i="10"/>
  <c r="N32" i="11" l="1"/>
  <c r="P32" i="11" s="1"/>
  <c r="N50" i="11"/>
  <c r="P50" i="11" s="1"/>
  <c r="N68" i="11"/>
  <c r="P68" i="11" s="1"/>
  <c r="K13" i="11"/>
  <c r="N13" i="11" s="1"/>
  <c r="P13" i="11" s="1"/>
  <c r="N34" i="11"/>
  <c r="P34" i="11" s="1"/>
  <c r="N52" i="11"/>
  <c r="P52" i="11" s="1"/>
  <c r="N70" i="11"/>
  <c r="P70" i="11" s="1"/>
  <c r="N25" i="11"/>
  <c r="P25" i="11" s="1"/>
  <c r="R25" i="11"/>
  <c r="N33" i="11"/>
  <c r="P33" i="11" s="1"/>
  <c r="N23" i="11"/>
  <c r="P23" i="11" s="1"/>
  <c r="R23" i="11"/>
  <c r="S23" i="11" s="1"/>
  <c r="N41" i="11"/>
  <c r="P41" i="11" s="1"/>
  <c r="R41" i="11"/>
  <c r="S41" i="11" s="1"/>
  <c r="N69" i="11"/>
  <c r="P69" i="11" s="1"/>
  <c r="N59" i="11"/>
  <c r="P59" i="11" s="1"/>
  <c r="R59" i="11"/>
  <c r="S59" i="11" s="1"/>
  <c r="N26" i="11"/>
  <c r="P26" i="11" s="1"/>
  <c r="R26" i="11"/>
  <c r="S26" i="11" s="1"/>
  <c r="N43" i="11"/>
  <c r="P43" i="11" s="1"/>
  <c r="R43" i="11"/>
  <c r="N44" i="11"/>
  <c r="P44" i="11" s="1"/>
  <c r="R44" i="11"/>
  <c r="N24" i="11"/>
  <c r="P24" i="11" s="1"/>
  <c r="R24" i="11"/>
  <c r="N42" i="11"/>
  <c r="P42" i="11" s="1"/>
  <c r="R42" i="11"/>
  <c r="N62" i="11"/>
  <c r="P62" i="11" s="1"/>
  <c r="N61" i="11"/>
  <c r="P61" i="11" s="1"/>
  <c r="N60" i="11"/>
  <c r="P60" i="11" s="1"/>
  <c r="N14" i="11"/>
  <c r="P14" i="11" s="1"/>
  <c r="N16" i="11"/>
  <c r="P16" i="11" s="1"/>
  <c r="L16" i="11"/>
  <c r="O16" i="11" s="1"/>
  <c r="N51" i="11"/>
  <c r="P51" i="11" s="1"/>
  <c r="L60" i="11"/>
  <c r="O60" i="11" s="1"/>
  <c r="H60" i="11"/>
  <c r="L69" i="11"/>
  <c r="O69" i="11" s="1"/>
  <c r="Q69" i="11" s="1"/>
  <c r="H69" i="11"/>
  <c r="L65" i="11"/>
  <c r="H65" i="11"/>
  <c r="L59" i="11"/>
  <c r="O59" i="11" s="1"/>
  <c r="H59" i="11"/>
  <c r="L66" i="11"/>
  <c r="H66" i="11"/>
  <c r="L68" i="11"/>
  <c r="O68" i="11" s="1"/>
  <c r="Q68" i="11" s="1"/>
  <c r="H68" i="11"/>
  <c r="L62" i="11"/>
  <c r="O62" i="11" s="1"/>
  <c r="Q62" i="11" s="1"/>
  <c r="H62" i="11"/>
  <c r="L58" i="11"/>
  <c r="H58" i="11"/>
  <c r="L70" i="11"/>
  <c r="O70" i="11" s="1"/>
  <c r="H70" i="11"/>
  <c r="L67" i="11"/>
  <c r="O67" i="11" s="1"/>
  <c r="Q67" i="11" s="1"/>
  <c r="H67" i="11"/>
  <c r="L61" i="11"/>
  <c r="O61" i="11" s="1"/>
  <c r="Q61" i="11" s="1"/>
  <c r="H61" i="11"/>
  <c r="L57" i="11"/>
  <c r="H57" i="11"/>
  <c r="L51" i="11"/>
  <c r="O51" i="11" s="1"/>
  <c r="Q51" i="11" s="1"/>
  <c r="H51" i="11"/>
  <c r="H47" i="11"/>
  <c r="L47" i="11"/>
  <c r="H41" i="11"/>
  <c r="L41" i="11"/>
  <c r="O41" i="11" s="1"/>
  <c r="Q41" i="11" s="1"/>
  <c r="L48" i="11"/>
  <c r="H48" i="11"/>
  <c r="L50" i="11"/>
  <c r="O50" i="11" s="1"/>
  <c r="H50" i="11"/>
  <c r="L44" i="11"/>
  <c r="O44" i="11" s="1"/>
  <c r="Q44" i="11" s="1"/>
  <c r="H44" i="11"/>
  <c r="H40" i="11"/>
  <c r="L40" i="11"/>
  <c r="L52" i="11"/>
  <c r="O52" i="11" s="1"/>
  <c r="H52" i="11"/>
  <c r="H42" i="11"/>
  <c r="L42" i="11"/>
  <c r="O42" i="11" s="1"/>
  <c r="Q42" i="11" s="1"/>
  <c r="L49" i="11"/>
  <c r="O49" i="11" s="1"/>
  <c r="Q49" i="11" s="1"/>
  <c r="H49" i="11"/>
  <c r="H43" i="11"/>
  <c r="L43" i="11"/>
  <c r="O43" i="11" s="1"/>
  <c r="Q43" i="11" s="1"/>
  <c r="H39" i="11"/>
  <c r="L39" i="11"/>
  <c r="L30" i="11"/>
  <c r="H30" i="11"/>
  <c r="L33" i="11"/>
  <c r="O33" i="11" s="1"/>
  <c r="Q33" i="11" s="1"/>
  <c r="H33" i="11"/>
  <c r="L29" i="11"/>
  <c r="H29" i="11"/>
  <c r="L23" i="11"/>
  <c r="O23" i="11" s="1"/>
  <c r="Q23" i="11" s="1"/>
  <c r="H23" i="11"/>
  <c r="L24" i="11"/>
  <c r="O24" i="11" s="1"/>
  <c r="H24" i="11"/>
  <c r="L32" i="11"/>
  <c r="O32" i="11" s="1"/>
  <c r="H32" i="11"/>
  <c r="L26" i="11"/>
  <c r="O26" i="11" s="1"/>
  <c r="Q26" i="11" s="1"/>
  <c r="H26" i="11"/>
  <c r="L22" i="11"/>
  <c r="H22" i="11"/>
  <c r="L34" i="11"/>
  <c r="O34" i="11" s="1"/>
  <c r="Q34" i="11" s="1"/>
  <c r="H34" i="11"/>
  <c r="L31" i="11"/>
  <c r="O31" i="11" s="1"/>
  <c r="Q31" i="11" s="1"/>
  <c r="H31" i="11"/>
  <c r="L25" i="11"/>
  <c r="O25" i="11" s="1"/>
  <c r="Q25" i="11" s="1"/>
  <c r="H25" i="11"/>
  <c r="L21" i="11"/>
  <c r="H21" i="11"/>
  <c r="L15" i="11"/>
  <c r="O15" i="11" s="1"/>
  <c r="L12" i="11"/>
  <c r="H4" i="11"/>
  <c r="H5" i="11"/>
  <c r="L14" i="11"/>
  <c r="O14" i="11" s="1"/>
  <c r="Q14" i="11" s="1"/>
  <c r="L6" i="11"/>
  <c r="H7" i="11"/>
  <c r="H8" i="11"/>
  <c r="L11" i="11"/>
  <c r="H11" i="11"/>
  <c r="J8" i="11"/>
  <c r="K8" i="11" s="1"/>
  <c r="J3" i="11"/>
  <c r="K3" i="11" s="1"/>
  <c r="R3" i="11" s="1"/>
  <c r="J7" i="11"/>
  <c r="K7" i="11" s="1"/>
  <c r="J4" i="11"/>
  <c r="K4" i="11" s="1"/>
  <c r="R4" i="11" s="1"/>
  <c r="S4" i="11" s="1"/>
  <c r="J5" i="11"/>
  <c r="K5" i="11" s="1"/>
  <c r="N6" i="11" s="1"/>
  <c r="J31" i="10"/>
  <c r="J32" i="10"/>
  <c r="J33" i="10"/>
  <c r="J34" i="10"/>
  <c r="J35" i="10"/>
  <c r="J36" i="10"/>
  <c r="J37" i="10"/>
  <c r="J38" i="10"/>
  <c r="J39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40" i="10"/>
  <c r="B31" i="10"/>
  <c r="F31" i="10" s="1"/>
  <c r="G31" i="10" s="1"/>
  <c r="B32" i="10"/>
  <c r="F32" i="10" s="1"/>
  <c r="G32" i="10" s="1"/>
  <c r="B30" i="10"/>
  <c r="O6" i="11" l="1"/>
  <c r="Q32" i="11"/>
  <c r="Q50" i="11"/>
  <c r="Q70" i="11"/>
  <c r="Q60" i="11"/>
  <c r="Q24" i="11"/>
  <c r="O13" i="11"/>
  <c r="Q13" i="11" s="1"/>
  <c r="Q15" i="11"/>
  <c r="Q52" i="11"/>
  <c r="Q59" i="11"/>
  <c r="Q16" i="11"/>
  <c r="N15" i="11"/>
  <c r="P15" i="11" s="1"/>
  <c r="S62" i="11"/>
  <c r="S44" i="11"/>
  <c r="N5" i="11"/>
  <c r="P5" i="11" s="1"/>
  <c r="S5" i="11"/>
  <c r="S8" i="11"/>
  <c r="N8" i="11"/>
  <c r="P8" i="11" s="1"/>
  <c r="N7" i="11"/>
  <c r="P7" i="11" s="1"/>
  <c r="P6" i="11"/>
  <c r="L8" i="11"/>
  <c r="O8" i="11" s="1"/>
  <c r="L4" i="11"/>
  <c r="L7" i="11"/>
  <c r="O7" i="11" s="1"/>
  <c r="L5" i="11"/>
  <c r="O5" i="11" s="1"/>
  <c r="Q5" i="11" s="1"/>
  <c r="L3" i="11"/>
  <c r="G34" i="10"/>
  <c r="E25" i="10"/>
  <c r="D25" i="10"/>
  <c r="H25" i="10" s="1"/>
  <c r="E24" i="10"/>
  <c r="D24" i="10"/>
  <c r="E23" i="10"/>
  <c r="D23" i="10"/>
  <c r="H23" i="10" s="1"/>
  <c r="K23" i="10" s="1"/>
  <c r="E21" i="10"/>
  <c r="D21" i="10"/>
  <c r="E20" i="10"/>
  <c r="D20" i="10"/>
  <c r="H20" i="10" s="1"/>
  <c r="K20" i="10" s="1"/>
  <c r="E19" i="10"/>
  <c r="D19" i="10"/>
  <c r="E17" i="10"/>
  <c r="D17" i="10"/>
  <c r="E16" i="10"/>
  <c r="D16" i="10"/>
  <c r="E15" i="10"/>
  <c r="D15" i="10"/>
  <c r="E13" i="10"/>
  <c r="D13" i="10"/>
  <c r="E12" i="10"/>
  <c r="D12" i="10"/>
  <c r="E11" i="10"/>
  <c r="D11" i="10"/>
  <c r="E9" i="10"/>
  <c r="D9" i="10"/>
  <c r="H9" i="10" s="1"/>
  <c r="E8" i="10"/>
  <c r="D8" i="10"/>
  <c r="E7" i="10"/>
  <c r="D7" i="10"/>
  <c r="H7" i="10" s="1"/>
  <c r="K7" i="10" s="1"/>
  <c r="E5" i="10"/>
  <c r="D5" i="10"/>
  <c r="E4" i="10"/>
  <c r="D4" i="10"/>
  <c r="E3" i="10"/>
  <c r="D3" i="10"/>
  <c r="D7" i="6"/>
  <c r="Q6" i="11" l="1"/>
  <c r="Q7" i="11"/>
  <c r="Q8" i="11"/>
  <c r="H3" i="10"/>
  <c r="K3" i="10" s="1"/>
  <c r="H11" i="10"/>
  <c r="K11" i="10" s="1"/>
  <c r="H13" i="10"/>
  <c r="I11" i="10" s="1"/>
  <c r="H16" i="10"/>
  <c r="K16" i="10" s="1"/>
  <c r="H24" i="10"/>
  <c r="K24" i="10" s="1"/>
  <c r="H12" i="10"/>
  <c r="K12" i="10" s="1"/>
  <c r="H4" i="10"/>
  <c r="K4" i="10" s="1"/>
  <c r="H15" i="10"/>
  <c r="K15" i="10" s="1"/>
  <c r="H8" i="10"/>
  <c r="K8" i="10" s="1"/>
  <c r="H19" i="10"/>
  <c r="K19" i="10" s="1"/>
  <c r="H17" i="10"/>
  <c r="H5" i="10"/>
  <c r="H21" i="10"/>
  <c r="K21" i="10"/>
  <c r="L19" i="10" s="1"/>
  <c r="I7" i="10"/>
  <c r="J7" i="10"/>
  <c r="K9" i="10"/>
  <c r="L7" i="10" s="1"/>
  <c r="J23" i="10"/>
  <c r="I23" i="10"/>
  <c r="K25" i="10"/>
  <c r="L23" i="10" s="1"/>
  <c r="K13" i="10"/>
  <c r="L11" i="10" s="1"/>
  <c r="K5" i="10"/>
  <c r="F45" i="9"/>
  <c r="G45" i="9"/>
  <c r="AE59" i="9"/>
  <c r="AE58" i="9"/>
  <c r="AE57" i="9"/>
  <c r="AE56" i="9"/>
  <c r="AE55" i="9"/>
  <c r="AA60" i="9" s="1"/>
  <c r="AE49" i="9"/>
  <c r="AE48" i="9"/>
  <c r="AE47" i="9"/>
  <c r="AE46" i="9"/>
  <c r="AE45" i="9"/>
  <c r="AA50" i="9" s="1"/>
  <c r="W59" i="9"/>
  <c r="W58" i="9"/>
  <c r="W57" i="9"/>
  <c r="W56" i="9"/>
  <c r="W55" i="9"/>
  <c r="S60" i="9" s="1"/>
  <c r="W49" i="9"/>
  <c r="W48" i="9"/>
  <c r="W47" i="9"/>
  <c r="W46" i="9"/>
  <c r="W45" i="9"/>
  <c r="S50" i="9" s="1"/>
  <c r="Y45" i="9" s="1"/>
  <c r="O59" i="9"/>
  <c r="O58" i="9"/>
  <c r="O57" i="9"/>
  <c r="O56" i="9"/>
  <c r="O55" i="9"/>
  <c r="O49" i="9"/>
  <c r="O48" i="9"/>
  <c r="O47" i="9"/>
  <c r="O46" i="9"/>
  <c r="O45" i="9"/>
  <c r="F47" i="9"/>
  <c r="F48" i="9"/>
  <c r="F49" i="9"/>
  <c r="F57" i="9"/>
  <c r="F58" i="9"/>
  <c r="F59" i="9"/>
  <c r="G55" i="9"/>
  <c r="F55" i="9"/>
  <c r="B60" i="9" s="1"/>
  <c r="G56" i="9"/>
  <c r="F56" i="9"/>
  <c r="G46" i="9"/>
  <c r="F46" i="9"/>
  <c r="Y46" i="9" l="1"/>
  <c r="I19" i="10"/>
  <c r="M7" i="10"/>
  <c r="M3" i="10"/>
  <c r="M11" i="10"/>
  <c r="J3" i="10"/>
  <c r="I15" i="10"/>
  <c r="I3" i="10"/>
  <c r="J11" i="10"/>
  <c r="J19" i="10"/>
  <c r="L3" i="10"/>
  <c r="J15" i="10"/>
  <c r="K17" i="10"/>
  <c r="M23" i="10"/>
  <c r="M19" i="10"/>
  <c r="AG46" i="9"/>
  <c r="B50" i="9"/>
  <c r="H46" i="9" s="1"/>
  <c r="Y56" i="9"/>
  <c r="AG56" i="9"/>
  <c r="AG55" i="9"/>
  <c r="AG45" i="9"/>
  <c r="Y55" i="9"/>
  <c r="Q56" i="9"/>
  <c r="H55" i="9"/>
  <c r="K50" i="9"/>
  <c r="Q46" i="9" s="1"/>
  <c r="K60" i="9"/>
  <c r="Q55" i="9" s="1"/>
  <c r="H56" i="9"/>
  <c r="Y157" i="3"/>
  <c r="Z157" i="3"/>
  <c r="Y158" i="3"/>
  <c r="Z158" i="3"/>
  <c r="Y159" i="3"/>
  <c r="Z159" i="3"/>
  <c r="Y160" i="3"/>
  <c r="Z160" i="3"/>
  <c r="G20" i="9"/>
  <c r="G19" i="9"/>
  <c r="G21" i="9"/>
  <c r="G18" i="9"/>
  <c r="G9" i="9"/>
  <c r="G10" i="9"/>
  <c r="G11" i="9"/>
  <c r="G8" i="9"/>
  <c r="AB19" i="9"/>
  <c r="AB20" i="9"/>
  <c r="AB21" i="9"/>
  <c r="AB18" i="9"/>
  <c r="Y22" i="9" s="1"/>
  <c r="U19" i="9"/>
  <c r="U20" i="9"/>
  <c r="U21" i="9"/>
  <c r="U18" i="9"/>
  <c r="R22" i="9" s="1"/>
  <c r="N19" i="9"/>
  <c r="N20" i="9"/>
  <c r="N21" i="9"/>
  <c r="N18" i="9"/>
  <c r="K22" i="9" s="1"/>
  <c r="F19" i="9"/>
  <c r="F20" i="9"/>
  <c r="F21" i="9"/>
  <c r="F18" i="9"/>
  <c r="B22" i="9" s="1"/>
  <c r="M15" i="10" l="1"/>
  <c r="L15" i="10"/>
  <c r="I45" i="9"/>
  <c r="I46" i="9"/>
  <c r="H45" i="9"/>
  <c r="Q45" i="9"/>
  <c r="O19" i="9"/>
  <c r="O20" i="9"/>
  <c r="V20" i="9"/>
  <c r="V21" i="9"/>
  <c r="V19" i="9"/>
  <c r="O21" i="9"/>
  <c r="H19" i="9"/>
  <c r="AC21" i="9"/>
  <c r="AC19" i="9"/>
  <c r="AC20" i="9"/>
  <c r="AC18" i="9"/>
  <c r="V18" i="9"/>
  <c r="O18" i="9"/>
  <c r="H18" i="9"/>
  <c r="H20" i="9"/>
  <c r="H21" i="9"/>
  <c r="AD21" i="9"/>
  <c r="AD20" i="9"/>
  <c r="AD19" i="9"/>
  <c r="AD18" i="9"/>
  <c r="AE18" i="9" s="1"/>
  <c r="W21" i="9"/>
  <c r="W20" i="9"/>
  <c r="W19" i="9"/>
  <c r="W18" i="9"/>
  <c r="X18" i="9" s="1"/>
  <c r="P21" i="9"/>
  <c r="P20" i="9"/>
  <c r="P19" i="9"/>
  <c r="P18" i="9"/>
  <c r="Q18" i="9" s="1"/>
  <c r="I21" i="9"/>
  <c r="I19" i="9"/>
  <c r="I18" i="9"/>
  <c r="J18" i="9" s="1"/>
  <c r="N8" i="9"/>
  <c r="F11" i="9"/>
  <c r="I11" i="9" s="1"/>
  <c r="F10" i="9"/>
  <c r="I10" i="9" s="1"/>
  <c r="F9" i="9"/>
  <c r="I9" i="9" s="1"/>
  <c r="AB11" i="9"/>
  <c r="AB10" i="9"/>
  <c r="AB9" i="9"/>
  <c r="AB8" i="9"/>
  <c r="U9" i="9"/>
  <c r="U10" i="9"/>
  <c r="U11" i="9"/>
  <c r="U8" i="9"/>
  <c r="N9" i="9"/>
  <c r="M24" i="9"/>
  <c r="N10" i="9"/>
  <c r="N11" i="9"/>
  <c r="W10" i="9" l="1"/>
  <c r="Q20" i="9"/>
  <c r="AE20" i="9"/>
  <c r="I8" i="9"/>
  <c r="J8" i="9" s="1"/>
  <c r="B12" i="9"/>
  <c r="W11" i="9"/>
  <c r="W9" i="9"/>
  <c r="AE21" i="9"/>
  <c r="X19" i="9"/>
  <c r="W8" i="9"/>
  <c r="X8" i="9" s="1"/>
  <c r="R12" i="9"/>
  <c r="V11" i="9" s="1"/>
  <c r="Q19" i="9"/>
  <c r="P11" i="9"/>
  <c r="P8" i="9"/>
  <c r="Q8" i="9" s="1"/>
  <c r="K12" i="9"/>
  <c r="O11" i="9" s="1"/>
  <c r="P10" i="9"/>
  <c r="AD10" i="9"/>
  <c r="J19" i="9"/>
  <c r="X20" i="9"/>
  <c r="AE19" i="9"/>
  <c r="Q21" i="9"/>
  <c r="AD8" i="9"/>
  <c r="AE8" i="9" s="1"/>
  <c r="Y12" i="9"/>
  <c r="AC11" i="9" s="1"/>
  <c r="AD9" i="9"/>
  <c r="AE9" i="9" s="1"/>
  <c r="P9" i="9"/>
  <c r="AD11" i="9"/>
  <c r="J21" i="9"/>
  <c r="X21" i="9"/>
  <c r="I20" i="9"/>
  <c r="J20" i="9" s="1"/>
  <c r="C28" i="7"/>
  <c r="O9" i="9" l="1"/>
  <c r="AE10" i="9"/>
  <c r="X11" i="9"/>
  <c r="H10" i="9"/>
  <c r="Q9" i="9"/>
  <c r="AC9" i="9"/>
  <c r="AC10" i="9"/>
  <c r="J9" i="9"/>
  <c r="V8" i="9"/>
  <c r="O8" i="9"/>
  <c r="V10" i="9"/>
  <c r="V9" i="9"/>
  <c r="H11" i="9"/>
  <c r="Q11" i="9"/>
  <c r="AC8" i="9"/>
  <c r="O10" i="9"/>
  <c r="J11" i="9"/>
  <c r="J10" i="9"/>
  <c r="Q10" i="9"/>
  <c r="X9" i="9"/>
  <c r="AE11" i="9"/>
  <c r="H8" i="9"/>
  <c r="X10" i="9"/>
  <c r="P158" i="3"/>
  <c r="Q158" i="3"/>
  <c r="P159" i="3"/>
  <c r="Q159" i="3"/>
  <c r="P160" i="3"/>
  <c r="Q160" i="3"/>
  <c r="Q157" i="3"/>
  <c r="P157" i="3"/>
  <c r="X157" i="3" s="1"/>
  <c r="X160" i="3" l="1"/>
  <c r="X158" i="3"/>
  <c r="X159" i="3"/>
  <c r="D39" i="7"/>
  <c r="D29" i="7"/>
  <c r="D28" i="7"/>
  <c r="C38" i="7"/>
  <c r="D38" i="7"/>
  <c r="E38" i="7"/>
  <c r="F38" i="7"/>
  <c r="G38" i="7"/>
  <c r="H38" i="7"/>
  <c r="I38" i="7"/>
  <c r="J38" i="7"/>
  <c r="C39" i="7"/>
  <c r="E39" i="7"/>
  <c r="F39" i="7"/>
  <c r="G39" i="7"/>
  <c r="H39" i="7"/>
  <c r="I39" i="7"/>
  <c r="J39" i="7"/>
  <c r="C40" i="7"/>
  <c r="D40" i="7"/>
  <c r="E40" i="7"/>
  <c r="F40" i="7"/>
  <c r="G40" i="7"/>
  <c r="H40" i="7"/>
  <c r="I40" i="7"/>
  <c r="J40" i="7"/>
  <c r="D37" i="7"/>
  <c r="E37" i="7"/>
  <c r="F37" i="7"/>
  <c r="G37" i="7"/>
  <c r="H37" i="7"/>
  <c r="I37" i="7"/>
  <c r="J37" i="7"/>
  <c r="J30" i="7" l="1"/>
  <c r="J29" i="7"/>
  <c r="J28" i="7"/>
  <c r="J27" i="7"/>
  <c r="H30" i="7"/>
  <c r="H29" i="7"/>
  <c r="H28" i="7"/>
  <c r="H27" i="7"/>
  <c r="F30" i="7"/>
  <c r="F29" i="7"/>
  <c r="F28" i="7"/>
  <c r="F27" i="7"/>
  <c r="D30" i="7"/>
  <c r="D27" i="7"/>
  <c r="I30" i="7"/>
  <c r="I29" i="7"/>
  <c r="I28" i="7"/>
  <c r="G30" i="7"/>
  <c r="G29" i="7"/>
  <c r="G28" i="7"/>
  <c r="E30" i="7"/>
  <c r="E29" i="7"/>
  <c r="E28" i="7"/>
  <c r="C29" i="7"/>
  <c r="C30" i="7"/>
  <c r="AB29" i="7" l="1"/>
  <c r="AB30" i="7"/>
  <c r="AB31" i="7"/>
  <c r="AD23" i="7"/>
  <c r="AD29" i="7" s="1"/>
  <c r="AD24" i="7"/>
  <c r="AD30" i="7" s="1"/>
  <c r="AD25" i="7"/>
  <c r="AD31" i="7" s="1"/>
  <c r="AD22" i="7"/>
  <c r="AC23" i="7"/>
  <c r="AC29" i="7" s="1"/>
  <c r="AC24" i="7"/>
  <c r="AC30" i="7" s="1"/>
  <c r="AC25" i="7"/>
  <c r="AC31" i="7" s="1"/>
  <c r="AC22" i="7"/>
  <c r="X7" i="7"/>
  <c r="X8" i="7"/>
  <c r="X9" i="7"/>
  <c r="X6" i="7"/>
  <c r="Y7" i="7"/>
  <c r="Y8" i="7"/>
  <c r="Y9" i="7"/>
  <c r="Y6" i="7"/>
  <c r="Q29" i="6" l="1"/>
  <c r="E29" i="6"/>
  <c r="D29" i="6"/>
  <c r="Q28" i="6"/>
  <c r="E28" i="6"/>
  <c r="D28" i="6"/>
  <c r="Q27" i="6"/>
  <c r="E27" i="6"/>
  <c r="D27" i="6"/>
  <c r="Q26" i="6"/>
  <c r="Q25" i="6"/>
  <c r="E25" i="6"/>
  <c r="D25" i="6"/>
  <c r="Q24" i="6"/>
  <c r="E24" i="6"/>
  <c r="D24" i="6"/>
  <c r="H24" i="6" s="1"/>
  <c r="K24" i="6" s="1"/>
  <c r="Q23" i="6"/>
  <c r="E23" i="6"/>
  <c r="D23" i="6"/>
  <c r="Q22" i="6"/>
  <c r="Q21" i="6"/>
  <c r="E21" i="6"/>
  <c r="D21" i="6"/>
  <c r="Q20" i="6"/>
  <c r="E20" i="6"/>
  <c r="D20" i="6"/>
  <c r="Q19" i="6"/>
  <c r="E19" i="6"/>
  <c r="D19" i="6"/>
  <c r="Q18" i="6"/>
  <c r="Q17" i="6"/>
  <c r="E17" i="6"/>
  <c r="D17" i="6"/>
  <c r="Q16" i="6"/>
  <c r="S15" i="6" s="1"/>
  <c r="W6" i="6" s="1"/>
  <c r="E16" i="6"/>
  <c r="D16" i="6"/>
  <c r="Q15" i="6"/>
  <c r="E15" i="6"/>
  <c r="D15" i="6"/>
  <c r="Q14" i="6"/>
  <c r="Q13" i="6"/>
  <c r="E13" i="6"/>
  <c r="D13" i="6"/>
  <c r="Q12" i="6"/>
  <c r="E12" i="6"/>
  <c r="D12" i="6"/>
  <c r="Q11" i="6"/>
  <c r="E11" i="6"/>
  <c r="D11" i="6"/>
  <c r="H11" i="6" s="1"/>
  <c r="Q10" i="6"/>
  <c r="Q9" i="6"/>
  <c r="E9" i="6"/>
  <c r="D9" i="6"/>
  <c r="Q8" i="6"/>
  <c r="E8" i="6"/>
  <c r="D8" i="6"/>
  <c r="H8" i="6" s="1"/>
  <c r="K8" i="6" s="1"/>
  <c r="Q7" i="6"/>
  <c r="E7" i="6"/>
  <c r="H7" i="6" s="1"/>
  <c r="E5" i="6"/>
  <c r="D5" i="6"/>
  <c r="H5" i="6" s="1"/>
  <c r="K5" i="6" s="1"/>
  <c r="E4" i="6"/>
  <c r="D4" i="6"/>
  <c r="E3" i="6"/>
  <c r="D3" i="6"/>
  <c r="H16" i="6" l="1"/>
  <c r="K16" i="6" s="1"/>
  <c r="H20" i="6"/>
  <c r="K20" i="6" s="1"/>
  <c r="S23" i="6"/>
  <c r="W8" i="6" s="1"/>
  <c r="H4" i="6"/>
  <c r="K4" i="6" s="1"/>
  <c r="H21" i="6"/>
  <c r="K21" i="6" s="1"/>
  <c r="H3" i="6"/>
  <c r="K3" i="6" s="1"/>
  <c r="M3" i="6" s="1"/>
  <c r="H13" i="6"/>
  <c r="K13" i="6" s="1"/>
  <c r="S19" i="6"/>
  <c r="W7" i="6" s="1"/>
  <c r="H23" i="6"/>
  <c r="H29" i="6"/>
  <c r="K29" i="6" s="1"/>
  <c r="H27" i="6"/>
  <c r="K27" i="6" s="1"/>
  <c r="H28" i="6"/>
  <c r="K28" i="6" s="1"/>
  <c r="H19" i="6"/>
  <c r="K19" i="6" s="1"/>
  <c r="H25" i="6"/>
  <c r="K25" i="6" s="1"/>
  <c r="R27" i="6"/>
  <c r="V9" i="6" s="1"/>
  <c r="R23" i="6"/>
  <c r="V8" i="6" s="1"/>
  <c r="R15" i="6"/>
  <c r="V6" i="6" s="1"/>
  <c r="R11" i="6"/>
  <c r="V5" i="6" s="1"/>
  <c r="S7" i="6"/>
  <c r="W4" i="6" s="1"/>
  <c r="R7" i="6"/>
  <c r="V4" i="6" s="1"/>
  <c r="H17" i="6"/>
  <c r="K17" i="6" s="1"/>
  <c r="H15" i="6"/>
  <c r="J3" i="6"/>
  <c r="I3" i="6"/>
  <c r="K23" i="6"/>
  <c r="H9" i="6"/>
  <c r="K9" i="6" s="1"/>
  <c r="H12" i="6"/>
  <c r="K12" i="6" s="1"/>
  <c r="K11" i="6"/>
  <c r="S11" i="6"/>
  <c r="W5" i="6" s="1"/>
  <c r="S27" i="6"/>
  <c r="W9" i="6" s="1"/>
  <c r="R19" i="6"/>
  <c r="V7" i="6" s="1"/>
  <c r="Q52" i="5"/>
  <c r="E52" i="5"/>
  <c r="D52" i="5"/>
  <c r="Q51" i="5"/>
  <c r="E51" i="5"/>
  <c r="D51" i="5"/>
  <c r="Q50" i="5"/>
  <c r="E50" i="5"/>
  <c r="D50" i="5"/>
  <c r="Q49" i="5"/>
  <c r="Q48" i="5"/>
  <c r="E48" i="5"/>
  <c r="D48" i="5"/>
  <c r="Q47" i="5"/>
  <c r="E47" i="5"/>
  <c r="D47" i="5"/>
  <c r="Q46" i="5"/>
  <c r="E46" i="5"/>
  <c r="D46" i="5"/>
  <c r="Q45" i="5"/>
  <c r="Q44" i="5"/>
  <c r="E44" i="5"/>
  <c r="D44" i="5"/>
  <c r="Q43" i="5"/>
  <c r="E43" i="5"/>
  <c r="D43" i="5"/>
  <c r="Q42" i="5"/>
  <c r="E42" i="5"/>
  <c r="D42" i="5"/>
  <c r="Q41" i="5"/>
  <c r="Q40" i="5"/>
  <c r="E40" i="5"/>
  <c r="D40" i="5"/>
  <c r="Q39" i="5"/>
  <c r="E39" i="5"/>
  <c r="D39" i="5"/>
  <c r="Q38" i="5"/>
  <c r="E38" i="5"/>
  <c r="D38" i="5"/>
  <c r="Q37" i="5"/>
  <c r="Q36" i="5"/>
  <c r="E36" i="5"/>
  <c r="D36" i="5"/>
  <c r="Q35" i="5"/>
  <c r="E35" i="5"/>
  <c r="D35" i="5"/>
  <c r="Q34" i="5"/>
  <c r="E34" i="5"/>
  <c r="D34" i="5"/>
  <c r="Q33" i="5"/>
  <c r="Q32" i="5"/>
  <c r="E32" i="5"/>
  <c r="D32" i="5"/>
  <c r="Q31" i="5"/>
  <c r="E31" i="5"/>
  <c r="D31" i="5"/>
  <c r="H31" i="5" s="1"/>
  <c r="K31" i="5" s="1"/>
  <c r="Q30" i="5"/>
  <c r="E30" i="5"/>
  <c r="D30" i="5"/>
  <c r="Q25" i="5"/>
  <c r="E25" i="5"/>
  <c r="D25" i="5"/>
  <c r="H25" i="5" s="1"/>
  <c r="K25" i="5" s="1"/>
  <c r="Q24" i="5"/>
  <c r="E24" i="5"/>
  <c r="D24" i="5"/>
  <c r="Q23" i="5"/>
  <c r="E23" i="5"/>
  <c r="D23" i="5"/>
  <c r="Q22" i="5"/>
  <c r="Q21" i="5"/>
  <c r="E21" i="5"/>
  <c r="D21" i="5"/>
  <c r="Q20" i="5"/>
  <c r="E20" i="5"/>
  <c r="D20" i="5"/>
  <c r="Q19" i="5"/>
  <c r="E19" i="5"/>
  <c r="D19" i="5"/>
  <c r="H19" i="5" s="1"/>
  <c r="K19" i="5" s="1"/>
  <c r="Q18" i="5"/>
  <c r="Q17" i="5"/>
  <c r="E17" i="5"/>
  <c r="D17" i="5"/>
  <c r="Q16" i="5"/>
  <c r="E16" i="5"/>
  <c r="D16" i="5"/>
  <c r="Q15" i="5"/>
  <c r="E15" i="5"/>
  <c r="D15" i="5"/>
  <c r="Q14" i="5"/>
  <c r="Q13" i="5"/>
  <c r="E13" i="5"/>
  <c r="D13" i="5"/>
  <c r="Q12" i="5"/>
  <c r="E12" i="5"/>
  <c r="D12" i="5"/>
  <c r="Q11" i="5"/>
  <c r="R11" i="5" s="1"/>
  <c r="V6" i="5" s="1"/>
  <c r="E11" i="5"/>
  <c r="D11" i="5"/>
  <c r="Q10" i="5"/>
  <c r="Q9" i="5"/>
  <c r="E9" i="5"/>
  <c r="D9" i="5"/>
  <c r="Q8" i="5"/>
  <c r="E8" i="5"/>
  <c r="D8" i="5"/>
  <c r="Q7" i="5"/>
  <c r="E7" i="5"/>
  <c r="D7" i="5"/>
  <c r="Q6" i="5"/>
  <c r="Q5" i="5"/>
  <c r="E5" i="5"/>
  <c r="D5" i="5"/>
  <c r="Q4" i="5"/>
  <c r="E4" i="5"/>
  <c r="D4" i="5"/>
  <c r="Q3" i="5"/>
  <c r="E3" i="5"/>
  <c r="D3" i="5"/>
  <c r="Q61" i="4"/>
  <c r="R61" i="4" s="1"/>
  <c r="Q60" i="4"/>
  <c r="Q59" i="4"/>
  <c r="Q58" i="4"/>
  <c r="Q57" i="4"/>
  <c r="Q56" i="4"/>
  <c r="R56" i="4" s="1"/>
  <c r="Q55" i="4"/>
  <c r="Q54" i="4"/>
  <c r="Q53" i="4"/>
  <c r="R53" i="4" s="1"/>
  <c r="Q52" i="4"/>
  <c r="R52" i="4" s="1"/>
  <c r="Q51" i="4"/>
  <c r="Q50" i="4"/>
  <c r="Q49" i="4"/>
  <c r="R49" i="4" s="1"/>
  <c r="Q48" i="4"/>
  <c r="R48" i="4" s="1"/>
  <c r="Q47" i="4"/>
  <c r="R47" i="4" s="1"/>
  <c r="Q46" i="4"/>
  <c r="Q45" i="4"/>
  <c r="R45" i="4" s="1"/>
  <c r="Q44" i="4"/>
  <c r="R44" i="4" s="1"/>
  <c r="Q43" i="4"/>
  <c r="R43" i="4" s="1"/>
  <c r="Q42" i="4"/>
  <c r="Q41" i="4"/>
  <c r="R41" i="4" s="1"/>
  <c r="Q40" i="4"/>
  <c r="R40" i="4" s="1"/>
  <c r="Q39" i="4"/>
  <c r="R39" i="4" s="1"/>
  <c r="Q8" i="4"/>
  <c r="R8" i="4" s="1"/>
  <c r="D3" i="4"/>
  <c r="E3" i="4"/>
  <c r="D4" i="4"/>
  <c r="E4" i="4"/>
  <c r="D5" i="4"/>
  <c r="E5" i="4"/>
  <c r="D7" i="4"/>
  <c r="E7" i="4"/>
  <c r="D8" i="4"/>
  <c r="E8" i="4"/>
  <c r="Q9" i="4"/>
  <c r="R9" i="4" s="1"/>
  <c r="D9" i="4"/>
  <c r="E9" i="4"/>
  <c r="Q10" i="4"/>
  <c r="R10" i="4" s="1"/>
  <c r="Q11" i="4"/>
  <c r="D11" i="4"/>
  <c r="E11" i="4"/>
  <c r="Q12" i="4"/>
  <c r="R12" i="4" s="1"/>
  <c r="D12" i="4"/>
  <c r="E12" i="4"/>
  <c r="Q13" i="4"/>
  <c r="R13" i="4" s="1"/>
  <c r="D13" i="4"/>
  <c r="E13" i="4"/>
  <c r="Q14" i="4"/>
  <c r="R14" i="4" s="1"/>
  <c r="Q15" i="4"/>
  <c r="D15" i="4"/>
  <c r="E15" i="4"/>
  <c r="Q16" i="4"/>
  <c r="R16" i="4" s="1"/>
  <c r="D16" i="4"/>
  <c r="E16" i="4"/>
  <c r="Q17" i="4"/>
  <c r="R17" i="4" s="1"/>
  <c r="D17" i="4"/>
  <c r="E17" i="4"/>
  <c r="Q18" i="4"/>
  <c r="R18" i="4" s="1"/>
  <c r="Q19" i="4"/>
  <c r="D19" i="4"/>
  <c r="E19" i="4"/>
  <c r="Q20" i="4"/>
  <c r="D20" i="4"/>
  <c r="E20" i="4"/>
  <c r="Q21" i="4"/>
  <c r="D21" i="4"/>
  <c r="E21" i="4"/>
  <c r="Q22" i="4"/>
  <c r="Q23" i="4"/>
  <c r="D23" i="4"/>
  <c r="E23" i="4"/>
  <c r="Q24" i="4"/>
  <c r="D24" i="4"/>
  <c r="E24" i="4"/>
  <c r="Q25" i="4"/>
  <c r="D25" i="4"/>
  <c r="E25" i="4"/>
  <c r="Q26" i="4"/>
  <c r="Q27" i="4"/>
  <c r="D27" i="4"/>
  <c r="E27" i="4"/>
  <c r="Q28" i="4"/>
  <c r="D28" i="4"/>
  <c r="E28" i="4"/>
  <c r="Q29" i="4"/>
  <c r="D29" i="4"/>
  <c r="E29" i="4"/>
  <c r="Q30" i="4"/>
  <c r="H39" i="5" l="1"/>
  <c r="K39" i="5" s="1"/>
  <c r="H17" i="5"/>
  <c r="K17" i="5" s="1"/>
  <c r="H4" i="5"/>
  <c r="K4" i="5" s="1"/>
  <c r="S39" i="4"/>
  <c r="S15" i="5"/>
  <c r="W7" i="5" s="1"/>
  <c r="H47" i="5"/>
  <c r="K47" i="5" s="1"/>
  <c r="S12" i="4"/>
  <c r="T17" i="4" s="1"/>
  <c r="H11" i="5"/>
  <c r="K11" i="5" s="1"/>
  <c r="H13" i="5"/>
  <c r="K13" i="5" s="1"/>
  <c r="H15" i="5"/>
  <c r="H21" i="5"/>
  <c r="K21" i="5" s="1"/>
  <c r="H23" i="5"/>
  <c r="H35" i="5"/>
  <c r="K35" i="5" s="1"/>
  <c r="H43" i="5"/>
  <c r="K43" i="5" s="1"/>
  <c r="H51" i="5"/>
  <c r="K51" i="5" s="1"/>
  <c r="I27" i="6"/>
  <c r="J27" i="6"/>
  <c r="M23" i="6"/>
  <c r="I23" i="6"/>
  <c r="I19" i="6"/>
  <c r="J19" i="6"/>
  <c r="J15" i="6"/>
  <c r="S47" i="4"/>
  <c r="T53" i="4"/>
  <c r="H7" i="5"/>
  <c r="K7" i="5" s="1"/>
  <c r="H30" i="5"/>
  <c r="H46" i="5"/>
  <c r="J23" i="6"/>
  <c r="Y51" i="4"/>
  <c r="R51" i="4"/>
  <c r="Y57" i="4"/>
  <c r="R57" i="4"/>
  <c r="T57" i="4" s="1"/>
  <c r="H20" i="5"/>
  <c r="K20" i="5" s="1"/>
  <c r="M19" i="5" s="1"/>
  <c r="S30" i="5"/>
  <c r="Z4" i="5" s="1"/>
  <c r="H40" i="5"/>
  <c r="K40" i="5" s="1"/>
  <c r="Y60" i="4"/>
  <c r="R60" i="4"/>
  <c r="T60" i="4" s="1"/>
  <c r="S8" i="4"/>
  <c r="Y55" i="4"/>
  <c r="R55" i="4"/>
  <c r="T55" i="4" s="1"/>
  <c r="T61" i="4"/>
  <c r="H5" i="5"/>
  <c r="K5" i="5" s="1"/>
  <c r="H8" i="5"/>
  <c r="K8" i="5" s="1"/>
  <c r="H38" i="5"/>
  <c r="K38" i="5" s="1"/>
  <c r="K15" i="6"/>
  <c r="M15" i="6" s="1"/>
  <c r="T52" i="4"/>
  <c r="S43" i="4"/>
  <c r="T48" i="4" s="1"/>
  <c r="Y59" i="4"/>
  <c r="R59" i="4"/>
  <c r="H3" i="5"/>
  <c r="K3" i="5" s="1"/>
  <c r="H9" i="5"/>
  <c r="K9" i="5" s="1"/>
  <c r="H12" i="5"/>
  <c r="K12" i="5" s="1"/>
  <c r="H32" i="5"/>
  <c r="K32" i="5" s="1"/>
  <c r="H48" i="5"/>
  <c r="K48" i="5" s="1"/>
  <c r="S55" i="4"/>
  <c r="T56" i="4"/>
  <c r="X28" i="4"/>
  <c r="AB9" i="4" s="1"/>
  <c r="R28" i="4"/>
  <c r="Y28" i="4"/>
  <c r="Y61" i="4"/>
  <c r="R26" i="4"/>
  <c r="Y26" i="4"/>
  <c r="R20" i="4"/>
  <c r="Y20" i="4"/>
  <c r="Y52" i="4"/>
  <c r="Z52" i="4" s="1"/>
  <c r="R21" i="4"/>
  <c r="Y21" i="4"/>
  <c r="R24" i="4"/>
  <c r="Y24" i="4"/>
  <c r="R29" i="4"/>
  <c r="Y29" i="4"/>
  <c r="R22" i="4"/>
  <c r="Y22" i="4"/>
  <c r="S16" i="4"/>
  <c r="Y56" i="4"/>
  <c r="R25" i="4"/>
  <c r="Y25" i="4"/>
  <c r="Y53" i="4"/>
  <c r="R30" i="4"/>
  <c r="T30" i="4" s="1"/>
  <c r="Y30" i="4"/>
  <c r="X51" i="4"/>
  <c r="W59" i="4"/>
  <c r="AD9" i="4" s="1"/>
  <c r="W55" i="4"/>
  <c r="AD8" i="4" s="1"/>
  <c r="W51" i="4"/>
  <c r="AD7" i="4" s="1"/>
  <c r="W47" i="4"/>
  <c r="AD6" i="4" s="1"/>
  <c r="AE7" i="4"/>
  <c r="X39" i="4"/>
  <c r="AE4" i="4" s="1"/>
  <c r="W39" i="4"/>
  <c r="AD4" i="4" s="1"/>
  <c r="W43" i="4"/>
  <c r="AD5" i="4" s="1"/>
  <c r="S50" i="5"/>
  <c r="Z9" i="5" s="1"/>
  <c r="R50" i="5"/>
  <c r="Y9" i="5" s="1"/>
  <c r="S46" i="5"/>
  <c r="Z8" i="5" s="1"/>
  <c r="R42" i="5"/>
  <c r="Y7" i="5" s="1"/>
  <c r="S42" i="5"/>
  <c r="Z7" i="5" s="1"/>
  <c r="S38" i="5"/>
  <c r="Z6" i="5" s="1"/>
  <c r="S34" i="5"/>
  <c r="Z5" i="5" s="1"/>
  <c r="R34" i="5"/>
  <c r="Y5" i="5" s="1"/>
  <c r="R23" i="5"/>
  <c r="V9" i="5" s="1"/>
  <c r="R19" i="5"/>
  <c r="V8" i="5" s="1"/>
  <c r="S19" i="5"/>
  <c r="W8" i="5" s="1"/>
  <c r="S11" i="5"/>
  <c r="W6" i="5" s="1"/>
  <c r="S7" i="5"/>
  <c r="W5" i="5" s="1"/>
  <c r="R3" i="5"/>
  <c r="V4" i="5" s="1"/>
  <c r="S3" i="5"/>
  <c r="W4" i="5" s="1"/>
  <c r="H44" i="5"/>
  <c r="K44" i="5" s="1"/>
  <c r="H42" i="5"/>
  <c r="K42" i="5" s="1"/>
  <c r="H36" i="5"/>
  <c r="K36" i="5" s="1"/>
  <c r="H34" i="5"/>
  <c r="H52" i="5"/>
  <c r="K52" i="5" s="1"/>
  <c r="H50" i="5"/>
  <c r="L23" i="6"/>
  <c r="I15" i="6"/>
  <c r="J7" i="6"/>
  <c r="K7" i="6"/>
  <c r="M7" i="6" s="1"/>
  <c r="L3" i="6"/>
  <c r="I11" i="6"/>
  <c r="J11" i="6"/>
  <c r="I7" i="6"/>
  <c r="L27" i="6"/>
  <c r="M27" i="6"/>
  <c r="L15" i="6"/>
  <c r="L11" i="6"/>
  <c r="M11" i="6"/>
  <c r="M19" i="6"/>
  <c r="L19" i="6"/>
  <c r="W24" i="4"/>
  <c r="AA8" i="4" s="1"/>
  <c r="W12" i="4"/>
  <c r="AA5" i="4" s="1"/>
  <c r="X55" i="4"/>
  <c r="AE8" i="4" s="1"/>
  <c r="X59" i="4"/>
  <c r="AE9" i="4" s="1"/>
  <c r="X43" i="4"/>
  <c r="AE5" i="4" s="1"/>
  <c r="H24" i="5"/>
  <c r="K24" i="5" s="1"/>
  <c r="H16" i="5"/>
  <c r="K16" i="5" s="1"/>
  <c r="J46" i="5"/>
  <c r="K46" i="5"/>
  <c r="I46" i="5"/>
  <c r="L3" i="5"/>
  <c r="K23" i="5"/>
  <c r="K15" i="5"/>
  <c r="R7" i="5"/>
  <c r="V5" i="5" s="1"/>
  <c r="S23" i="5"/>
  <c r="W9" i="5" s="1"/>
  <c r="R38" i="5"/>
  <c r="Y6" i="5" s="1"/>
  <c r="I3" i="5"/>
  <c r="R15" i="5"/>
  <c r="V7" i="5" s="1"/>
  <c r="R30" i="5"/>
  <c r="Y4" i="5" s="1"/>
  <c r="R46" i="5"/>
  <c r="Y8" i="5" s="1"/>
  <c r="X47" i="4"/>
  <c r="AE6" i="4" s="1"/>
  <c r="H9" i="4"/>
  <c r="K9" i="4" s="1"/>
  <c r="H3" i="4"/>
  <c r="K3" i="4" s="1"/>
  <c r="N3" i="4" s="1"/>
  <c r="H7" i="4"/>
  <c r="K7" i="4" s="1"/>
  <c r="H27" i="4"/>
  <c r="K27" i="4" s="1"/>
  <c r="X8" i="4"/>
  <c r="AB4" i="4" s="1"/>
  <c r="H28" i="4"/>
  <c r="K28" i="4" s="1"/>
  <c r="H20" i="4"/>
  <c r="K20" i="4" s="1"/>
  <c r="H13" i="4"/>
  <c r="K13" i="4" s="1"/>
  <c r="H11" i="4"/>
  <c r="K11" i="4" s="1"/>
  <c r="W28" i="4"/>
  <c r="AA9" i="4" s="1"/>
  <c r="H21" i="4"/>
  <c r="K21" i="4" s="1"/>
  <c r="H19" i="4"/>
  <c r="K19" i="4" s="1"/>
  <c r="H12" i="4"/>
  <c r="K12" i="4" s="1"/>
  <c r="W16" i="4"/>
  <c r="AA6" i="4" s="1"/>
  <c r="H5" i="4"/>
  <c r="K5" i="4" s="1"/>
  <c r="N5" i="4" s="1"/>
  <c r="H25" i="4"/>
  <c r="K25" i="4" s="1"/>
  <c r="H23" i="4"/>
  <c r="K23" i="4" s="1"/>
  <c r="X12" i="4"/>
  <c r="AB5" i="4" s="1"/>
  <c r="H8" i="4"/>
  <c r="H4" i="4"/>
  <c r="K4" i="4" s="1"/>
  <c r="N4" i="4" s="1"/>
  <c r="H29" i="4"/>
  <c r="H16" i="4"/>
  <c r="K16" i="4" s="1"/>
  <c r="W20" i="4"/>
  <c r="AA7" i="4" s="1"/>
  <c r="H24" i="4"/>
  <c r="K24" i="4" s="1"/>
  <c r="H17" i="4"/>
  <c r="K17" i="4" s="1"/>
  <c r="H15" i="4"/>
  <c r="K15" i="4" s="1"/>
  <c r="W8" i="4"/>
  <c r="AA4" i="4" s="1"/>
  <c r="X16" i="4"/>
  <c r="AB6" i="4" s="1"/>
  <c r="X20" i="4"/>
  <c r="AB7" i="4" s="1"/>
  <c r="X24" i="4"/>
  <c r="AB8" i="4" s="1"/>
  <c r="J50" i="5" l="1"/>
  <c r="J15" i="5"/>
  <c r="I15" i="5"/>
  <c r="M3" i="5"/>
  <c r="I38" i="5"/>
  <c r="J3" i="5"/>
  <c r="J38" i="5"/>
  <c r="M11" i="5"/>
  <c r="L19" i="5"/>
  <c r="T49" i="4"/>
  <c r="V47" i="4" s="1"/>
  <c r="AL4" i="4" s="1"/>
  <c r="T18" i="4"/>
  <c r="T47" i="4"/>
  <c r="L11" i="5"/>
  <c r="J30" i="5"/>
  <c r="I11" i="5"/>
  <c r="J19" i="5"/>
  <c r="J11" i="5"/>
  <c r="I19" i="5"/>
  <c r="T16" i="4"/>
  <c r="U47" i="4"/>
  <c r="AK4" i="4" s="1"/>
  <c r="T29" i="4"/>
  <c r="S59" i="4"/>
  <c r="T59" i="4"/>
  <c r="I23" i="5"/>
  <c r="Z60" i="4"/>
  <c r="I30" i="5"/>
  <c r="L7" i="6"/>
  <c r="AA56" i="4"/>
  <c r="T51" i="4"/>
  <c r="S51" i="4"/>
  <c r="K30" i="5"/>
  <c r="L30" i="5" s="1"/>
  <c r="I7" i="5"/>
  <c r="V55" i="4"/>
  <c r="AL6" i="4" s="1"/>
  <c r="U55" i="4"/>
  <c r="AK6" i="4" s="1"/>
  <c r="J7" i="5"/>
  <c r="J34" i="5"/>
  <c r="P3" i="4"/>
  <c r="O3" i="4"/>
  <c r="S20" i="4"/>
  <c r="T20" i="4"/>
  <c r="T22" i="4"/>
  <c r="AA52" i="4"/>
  <c r="T26" i="4"/>
  <c r="AA29" i="4"/>
  <c r="Z29" i="4"/>
  <c r="AA60" i="4"/>
  <c r="T21" i="4"/>
  <c r="Z56" i="4"/>
  <c r="AA21" i="4"/>
  <c r="Z21" i="4"/>
  <c r="T25" i="4"/>
  <c r="AA25" i="4"/>
  <c r="Z25" i="4"/>
  <c r="S24" i="4"/>
  <c r="T24" i="4"/>
  <c r="T28" i="4"/>
  <c r="S28" i="4"/>
  <c r="I50" i="5"/>
  <c r="K50" i="5"/>
  <c r="M50" i="5" s="1"/>
  <c r="J42" i="5"/>
  <c r="I42" i="5"/>
  <c r="K34" i="5"/>
  <c r="L34" i="5" s="1"/>
  <c r="I34" i="5"/>
  <c r="J23" i="5"/>
  <c r="L38" i="5"/>
  <c r="M38" i="5"/>
  <c r="M15" i="5"/>
  <c r="L15" i="5"/>
  <c r="L50" i="5"/>
  <c r="L42" i="5"/>
  <c r="M42" i="5"/>
  <c r="L46" i="5"/>
  <c r="M46" i="5"/>
  <c r="M23" i="5"/>
  <c r="L23" i="5"/>
  <c r="M7" i="5"/>
  <c r="L7" i="5"/>
  <c r="J7" i="4"/>
  <c r="I23" i="4"/>
  <c r="J27" i="4"/>
  <c r="I15" i="4"/>
  <c r="J11" i="4"/>
  <c r="J3" i="4"/>
  <c r="I3" i="4"/>
  <c r="J19" i="4"/>
  <c r="I19" i="4"/>
  <c r="J23" i="4"/>
  <c r="I7" i="4"/>
  <c r="I11" i="4"/>
  <c r="K29" i="4"/>
  <c r="L27" i="4" s="1"/>
  <c r="I27" i="4"/>
  <c r="K8" i="4"/>
  <c r="L7" i="4" s="1"/>
  <c r="J15" i="4"/>
  <c r="M23" i="4"/>
  <c r="L23" i="4"/>
  <c r="L15" i="4"/>
  <c r="M15" i="4"/>
  <c r="M19" i="4"/>
  <c r="L19" i="4"/>
  <c r="M11" i="4"/>
  <c r="L11" i="4"/>
  <c r="M3" i="4"/>
  <c r="L3" i="4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14" i="3"/>
  <c r="R14" i="3" s="1"/>
  <c r="Q138" i="3"/>
  <c r="R138" i="3" s="1"/>
  <c r="Q139" i="3"/>
  <c r="R139" i="3" s="1"/>
  <c r="Q140" i="3"/>
  <c r="R140" i="3" s="1"/>
  <c r="Q141" i="3"/>
  <c r="R141" i="3" s="1"/>
  <c r="Q142" i="3"/>
  <c r="R142" i="3" s="1"/>
  <c r="Q143" i="3"/>
  <c r="R143" i="3" s="1"/>
  <c r="Q144" i="3"/>
  <c r="R144" i="3" s="1"/>
  <c r="Q145" i="3"/>
  <c r="Q146" i="3"/>
  <c r="R146" i="3" s="1"/>
  <c r="Q128" i="3"/>
  <c r="R128" i="3" s="1"/>
  <c r="Q129" i="3"/>
  <c r="R129" i="3" s="1"/>
  <c r="Q130" i="3"/>
  <c r="R130" i="3" s="1"/>
  <c r="Q131" i="3"/>
  <c r="R131" i="3" s="1"/>
  <c r="Q132" i="3"/>
  <c r="R132" i="3" s="1"/>
  <c r="Q133" i="3"/>
  <c r="R133" i="3" s="1"/>
  <c r="Q134" i="3"/>
  <c r="R134" i="3" s="1"/>
  <c r="Q135" i="3"/>
  <c r="Q136" i="3"/>
  <c r="R136" i="3" s="1"/>
  <c r="Q118" i="3"/>
  <c r="R118" i="3" s="1"/>
  <c r="Q119" i="3"/>
  <c r="R119" i="3" s="1"/>
  <c r="Q120" i="3"/>
  <c r="R120" i="3" s="1"/>
  <c r="Q121" i="3"/>
  <c r="R121" i="3" s="1"/>
  <c r="Q122" i="3"/>
  <c r="R122" i="3" s="1"/>
  <c r="Q123" i="3"/>
  <c r="R123" i="3" s="1"/>
  <c r="Q124" i="3"/>
  <c r="R124" i="3" s="1"/>
  <c r="Q125" i="3"/>
  <c r="Q126" i="3"/>
  <c r="R126" i="3" s="1"/>
  <c r="Q108" i="3"/>
  <c r="R108" i="3" s="1"/>
  <c r="Q109" i="3"/>
  <c r="R109" i="3" s="1"/>
  <c r="Q110" i="3"/>
  <c r="R110" i="3" s="1"/>
  <c r="Q111" i="3"/>
  <c r="R111" i="3" s="1"/>
  <c r="Q112" i="3"/>
  <c r="R112" i="3" s="1"/>
  <c r="Q113" i="3"/>
  <c r="R113" i="3" s="1"/>
  <c r="Q114" i="3"/>
  <c r="R114" i="3" s="1"/>
  <c r="Q115" i="3"/>
  <c r="R115" i="3" s="1"/>
  <c r="Q116" i="3"/>
  <c r="R116" i="3" s="1"/>
  <c r="Q98" i="3"/>
  <c r="R98" i="3" s="1"/>
  <c r="Q99" i="3"/>
  <c r="R99" i="3" s="1"/>
  <c r="Q100" i="3"/>
  <c r="R100" i="3" s="1"/>
  <c r="Q101" i="3"/>
  <c r="R101" i="3" s="1"/>
  <c r="Q102" i="3"/>
  <c r="R102" i="3" s="1"/>
  <c r="Q103" i="3"/>
  <c r="R103" i="3" s="1"/>
  <c r="Q104" i="3"/>
  <c r="R104" i="3" s="1"/>
  <c r="Q105" i="3"/>
  <c r="R105" i="3" s="1"/>
  <c r="Q106" i="3"/>
  <c r="R106" i="3" s="1"/>
  <c r="Q90" i="3"/>
  <c r="R90" i="3" s="1"/>
  <c r="Q91" i="3"/>
  <c r="R91" i="3" s="1"/>
  <c r="Q92" i="3"/>
  <c r="R92" i="3" s="1"/>
  <c r="Q93" i="3"/>
  <c r="R93" i="3" s="1"/>
  <c r="Q94" i="3"/>
  <c r="R94" i="3" s="1"/>
  <c r="Q95" i="3"/>
  <c r="R95" i="3" s="1"/>
  <c r="Q96" i="3"/>
  <c r="R96" i="3" s="1"/>
  <c r="Q88" i="3"/>
  <c r="R88" i="3" s="1"/>
  <c r="Q63" i="3"/>
  <c r="R63" i="3" s="1"/>
  <c r="Q64" i="3"/>
  <c r="R64" i="3" s="1"/>
  <c r="Q65" i="3"/>
  <c r="Q66" i="3"/>
  <c r="R66" i="3" s="1"/>
  <c r="Q67" i="3"/>
  <c r="R67" i="3" s="1"/>
  <c r="Q68" i="3"/>
  <c r="R68" i="3" s="1"/>
  <c r="Q69" i="3"/>
  <c r="R69" i="3" s="1"/>
  <c r="Q70" i="3"/>
  <c r="R70" i="3" s="1"/>
  <c r="Q71" i="3"/>
  <c r="R71" i="3" s="1"/>
  <c r="Q53" i="3"/>
  <c r="R53" i="3" s="1"/>
  <c r="Q54" i="3"/>
  <c r="R54" i="3" s="1"/>
  <c r="Q55" i="3"/>
  <c r="Q56" i="3"/>
  <c r="R56" i="3" s="1"/>
  <c r="Q57" i="3"/>
  <c r="R57" i="3" s="1"/>
  <c r="Q58" i="3"/>
  <c r="R58" i="3" s="1"/>
  <c r="Q59" i="3"/>
  <c r="R59" i="3" s="1"/>
  <c r="Q60" i="3"/>
  <c r="R60" i="3" s="1"/>
  <c r="Q61" i="3"/>
  <c r="R61" i="3" s="1"/>
  <c r="Q43" i="3"/>
  <c r="R43" i="3" s="1"/>
  <c r="Q44" i="3"/>
  <c r="Q45" i="3"/>
  <c r="R45" i="3" s="1"/>
  <c r="Q46" i="3"/>
  <c r="R46" i="3" s="1"/>
  <c r="Q47" i="3"/>
  <c r="Q48" i="3"/>
  <c r="R48" i="3" s="1"/>
  <c r="Q49" i="3"/>
  <c r="R49" i="3" s="1"/>
  <c r="Q50" i="3"/>
  <c r="R50" i="3" s="1"/>
  <c r="Q51" i="3"/>
  <c r="R51" i="3" s="1"/>
  <c r="Q33" i="3"/>
  <c r="R33" i="3" s="1"/>
  <c r="Q34" i="3"/>
  <c r="R34" i="3" s="1"/>
  <c r="Q35" i="3"/>
  <c r="R35" i="3" s="1"/>
  <c r="Q36" i="3"/>
  <c r="R36" i="3" s="1"/>
  <c r="Q37" i="3"/>
  <c r="R37" i="3" s="1"/>
  <c r="Q38" i="3"/>
  <c r="R38" i="3" s="1"/>
  <c r="Q39" i="3"/>
  <c r="R39" i="3" s="1"/>
  <c r="Q40" i="3"/>
  <c r="R40" i="3" s="1"/>
  <c r="Q41" i="3"/>
  <c r="R41" i="3" s="1"/>
  <c r="Q23" i="3"/>
  <c r="R23" i="3" s="1"/>
  <c r="Q24" i="3"/>
  <c r="R24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15" i="3"/>
  <c r="R15" i="3" s="1"/>
  <c r="Q16" i="3"/>
  <c r="R16" i="3" s="1"/>
  <c r="Q17" i="3"/>
  <c r="R17" i="3" s="1"/>
  <c r="Q18" i="3"/>
  <c r="R18" i="3" s="1"/>
  <c r="Q19" i="3"/>
  <c r="R19" i="3" s="1"/>
  <c r="Q20" i="3"/>
  <c r="R20" i="3" s="1"/>
  <c r="Q21" i="3"/>
  <c r="R21" i="3" s="1"/>
  <c r="Q12" i="3"/>
  <c r="Q13" i="3"/>
  <c r="R13" i="3" s="1"/>
  <c r="S13" i="3" s="1"/>
  <c r="Q53" i="1"/>
  <c r="Q54" i="1"/>
  <c r="Q55" i="1"/>
  <c r="Q56" i="1"/>
  <c r="Q57" i="1"/>
  <c r="Q58" i="1"/>
  <c r="Q59" i="1"/>
  <c r="Q60" i="1"/>
  <c r="Q61" i="1"/>
  <c r="Q43" i="1"/>
  <c r="Q44" i="1"/>
  <c r="Q45" i="1"/>
  <c r="Q46" i="1"/>
  <c r="Q47" i="1"/>
  <c r="Q48" i="1"/>
  <c r="Q49" i="1"/>
  <c r="Q50" i="1"/>
  <c r="Q51" i="1"/>
  <c r="Q33" i="1"/>
  <c r="Q34" i="1"/>
  <c r="Q35" i="1"/>
  <c r="Q36" i="1"/>
  <c r="Q37" i="1"/>
  <c r="Q38" i="1"/>
  <c r="Q39" i="1"/>
  <c r="Q40" i="1"/>
  <c r="Q41" i="1"/>
  <c r="Q23" i="1"/>
  <c r="Q24" i="1"/>
  <c r="Q25" i="1"/>
  <c r="Q26" i="1"/>
  <c r="Q27" i="1"/>
  <c r="Q28" i="1"/>
  <c r="Q29" i="1"/>
  <c r="Q30" i="1"/>
  <c r="Q31" i="1"/>
  <c r="Q13" i="1"/>
  <c r="Q14" i="1"/>
  <c r="Q15" i="1"/>
  <c r="Q16" i="1"/>
  <c r="Q17" i="1"/>
  <c r="Q18" i="1"/>
  <c r="Q19" i="1"/>
  <c r="Q20" i="1"/>
  <c r="Q21" i="1"/>
  <c r="Q12" i="1"/>
  <c r="Q22" i="1"/>
  <c r="Q32" i="1"/>
  <c r="Q42" i="1"/>
  <c r="Q52" i="1"/>
  <c r="Q6" i="1"/>
  <c r="Q7" i="1"/>
  <c r="Q8" i="1"/>
  <c r="Q9" i="1"/>
  <c r="Q10" i="1"/>
  <c r="Q11" i="1"/>
  <c r="Q4" i="1"/>
  <c r="Q5" i="1"/>
  <c r="Q3" i="1"/>
  <c r="D124" i="1"/>
  <c r="E124" i="1"/>
  <c r="D125" i="1"/>
  <c r="E125" i="1"/>
  <c r="T109" i="3" l="1"/>
  <c r="T36" i="3"/>
  <c r="S36" i="3"/>
  <c r="T108" i="3"/>
  <c r="T93" i="1"/>
  <c r="AA76" i="1" s="1"/>
  <c r="T114" i="3"/>
  <c r="T115" i="3"/>
  <c r="T111" i="3"/>
  <c r="S86" i="1"/>
  <c r="AC75" i="1" s="1"/>
  <c r="T110" i="1"/>
  <c r="X78" i="1" s="1"/>
  <c r="U59" i="4"/>
  <c r="AK7" i="4" s="1"/>
  <c r="V59" i="4"/>
  <c r="AL7" i="4" s="1"/>
  <c r="S91" i="3"/>
  <c r="S116" i="1"/>
  <c r="AC78" i="1" s="1"/>
  <c r="V51" i="4"/>
  <c r="AL5" i="4" s="1"/>
  <c r="U51" i="4"/>
  <c r="AK5" i="4" s="1"/>
  <c r="M30" i="5"/>
  <c r="S26" i="3"/>
  <c r="T38" i="3" s="1"/>
  <c r="S23" i="3"/>
  <c r="T33" i="3" s="1"/>
  <c r="S16" i="3"/>
  <c r="S94" i="3"/>
  <c r="S104" i="3"/>
  <c r="T116" i="3" s="1"/>
  <c r="S98" i="3"/>
  <c r="T110" i="3" s="1"/>
  <c r="S29" i="3"/>
  <c r="T39" i="3" s="1"/>
  <c r="Y65" i="3"/>
  <c r="R65" i="3"/>
  <c r="S101" i="3"/>
  <c r="T113" i="3" s="1"/>
  <c r="Y145" i="3"/>
  <c r="R145" i="3"/>
  <c r="Y125" i="3"/>
  <c r="R125" i="3"/>
  <c r="Y44" i="3"/>
  <c r="AA44" i="3" s="1"/>
  <c r="R44" i="3"/>
  <c r="S19" i="3"/>
  <c r="S39" i="3"/>
  <c r="T59" i="3" s="1"/>
  <c r="S49" i="3"/>
  <c r="S111" i="3"/>
  <c r="T121" i="3" s="1"/>
  <c r="T133" i="3"/>
  <c r="S128" i="3"/>
  <c r="Y55" i="3"/>
  <c r="R55" i="3"/>
  <c r="S121" i="3"/>
  <c r="S66" i="3"/>
  <c r="S59" i="3"/>
  <c r="S108" i="3"/>
  <c r="T138" i="3" s="1"/>
  <c r="S131" i="3"/>
  <c r="T142" i="3"/>
  <c r="S56" i="3"/>
  <c r="S33" i="3"/>
  <c r="T53" i="3" s="1"/>
  <c r="S138" i="3"/>
  <c r="Y47" i="3"/>
  <c r="R47" i="3"/>
  <c r="S69" i="3"/>
  <c r="S118" i="3"/>
  <c r="S141" i="3"/>
  <c r="S114" i="3"/>
  <c r="T136" i="3" s="1"/>
  <c r="Y135" i="3"/>
  <c r="R135" i="3"/>
  <c r="T135" i="3" s="1"/>
  <c r="Y45" i="3"/>
  <c r="Y146" i="3"/>
  <c r="Y54" i="3"/>
  <c r="W124" i="3"/>
  <c r="X124" i="3"/>
  <c r="Y124" i="3"/>
  <c r="W134" i="3"/>
  <c r="X134" i="3"/>
  <c r="Y134" i="3"/>
  <c r="W23" i="3"/>
  <c r="X23" i="3"/>
  <c r="Y56" i="3"/>
  <c r="W56" i="3"/>
  <c r="X56" i="3"/>
  <c r="Y67" i="3"/>
  <c r="W94" i="3"/>
  <c r="X94" i="3"/>
  <c r="X114" i="3"/>
  <c r="W114" i="3"/>
  <c r="Y136" i="3"/>
  <c r="W128" i="3"/>
  <c r="X128" i="3"/>
  <c r="Y128" i="3"/>
  <c r="Y139" i="3"/>
  <c r="X66" i="3"/>
  <c r="W66" i="3"/>
  <c r="Y66" i="3"/>
  <c r="W19" i="3"/>
  <c r="X19" i="3"/>
  <c r="W39" i="3"/>
  <c r="X39" i="3"/>
  <c r="Y50" i="3"/>
  <c r="Y61" i="3"/>
  <c r="W53" i="3"/>
  <c r="X53" i="3"/>
  <c r="Y53" i="3"/>
  <c r="Y64" i="3"/>
  <c r="W91" i="3"/>
  <c r="X91" i="3"/>
  <c r="X111" i="3"/>
  <c r="W111" i="3"/>
  <c r="Y122" i="3"/>
  <c r="Y133" i="3"/>
  <c r="W144" i="3"/>
  <c r="X144" i="3"/>
  <c r="Y144" i="3"/>
  <c r="Y51" i="3"/>
  <c r="Y49" i="3"/>
  <c r="W49" i="3"/>
  <c r="X49" i="3"/>
  <c r="Y60" i="3"/>
  <c r="Y71" i="3"/>
  <c r="W63" i="3"/>
  <c r="X63" i="3"/>
  <c r="Y63" i="3"/>
  <c r="Y121" i="3"/>
  <c r="X121" i="3"/>
  <c r="W121" i="3"/>
  <c r="Y132" i="3"/>
  <c r="Y143" i="3"/>
  <c r="W33" i="3"/>
  <c r="X33" i="3"/>
  <c r="W29" i="3"/>
  <c r="X29" i="3"/>
  <c r="W43" i="3"/>
  <c r="X43" i="3"/>
  <c r="Y43" i="3"/>
  <c r="Y123" i="3"/>
  <c r="W26" i="3"/>
  <c r="X26" i="3"/>
  <c r="Y48" i="3"/>
  <c r="W59" i="3"/>
  <c r="X59" i="3"/>
  <c r="Y59" i="3"/>
  <c r="Y70" i="3"/>
  <c r="X98" i="3"/>
  <c r="W98" i="3"/>
  <c r="Y120" i="3"/>
  <c r="X131" i="3"/>
  <c r="W131" i="3"/>
  <c r="Y131" i="3"/>
  <c r="Y142" i="3"/>
  <c r="X138" i="3"/>
  <c r="Y138" i="3"/>
  <c r="W138" i="3"/>
  <c r="X101" i="3"/>
  <c r="W101" i="3"/>
  <c r="W36" i="3"/>
  <c r="X36" i="3"/>
  <c r="Y58" i="3"/>
  <c r="W69" i="3"/>
  <c r="X69" i="3"/>
  <c r="Y69" i="3"/>
  <c r="W108" i="3"/>
  <c r="X108" i="3"/>
  <c r="Y119" i="3"/>
  <c r="Y130" i="3"/>
  <c r="Y141" i="3"/>
  <c r="W141" i="3"/>
  <c r="X141" i="3"/>
  <c r="W16" i="3"/>
  <c r="X16" i="3"/>
  <c r="W13" i="3"/>
  <c r="X13" i="3"/>
  <c r="X46" i="3"/>
  <c r="Y46" i="3"/>
  <c r="W46" i="3"/>
  <c r="Y57" i="3"/>
  <c r="Y68" i="3"/>
  <c r="W104" i="3"/>
  <c r="X104" i="3"/>
  <c r="Y126" i="3"/>
  <c r="W118" i="3"/>
  <c r="X118" i="3"/>
  <c r="Y118" i="3"/>
  <c r="Y129" i="3"/>
  <c r="Y140" i="3"/>
  <c r="U28" i="4"/>
  <c r="AH7" i="4" s="1"/>
  <c r="V28" i="4"/>
  <c r="AI7" i="4" s="1"/>
  <c r="U24" i="4"/>
  <c r="AH6" i="4" s="1"/>
  <c r="V24" i="4"/>
  <c r="AI6" i="4" s="1"/>
  <c r="V20" i="4"/>
  <c r="AI5" i="4" s="1"/>
  <c r="U20" i="4"/>
  <c r="AH5" i="4" s="1"/>
  <c r="V16" i="4"/>
  <c r="AI4" i="4" s="1"/>
  <c r="U16" i="4"/>
  <c r="AH4" i="4" s="1"/>
  <c r="M34" i="5"/>
  <c r="M27" i="4"/>
  <c r="M7" i="4"/>
  <c r="S120" i="1"/>
  <c r="W79" i="1" s="1"/>
  <c r="T120" i="1"/>
  <c r="X79" i="1" s="1"/>
  <c r="T70" i="1"/>
  <c r="X74" i="1" s="1"/>
  <c r="T100" i="1"/>
  <c r="X77" i="1" s="1"/>
  <c r="T90" i="1"/>
  <c r="X76" i="1" s="1"/>
  <c r="T80" i="1"/>
  <c r="X75" i="1" s="1"/>
  <c r="S126" i="1"/>
  <c r="AC79" i="1" s="1"/>
  <c r="T106" i="1"/>
  <c r="AD77" i="1" s="1"/>
  <c r="S106" i="1"/>
  <c r="AC77" i="1" s="1"/>
  <c r="S96" i="1"/>
  <c r="AC76" i="1" s="1"/>
  <c r="T86" i="1"/>
  <c r="AD75" i="1" s="1"/>
  <c r="S76" i="1"/>
  <c r="AC74" i="1" s="1"/>
  <c r="T123" i="1"/>
  <c r="AA79" i="1" s="1"/>
  <c r="T113" i="1"/>
  <c r="AA78" i="1" s="1"/>
  <c r="T103" i="1"/>
  <c r="AA77" i="1" s="1"/>
  <c r="S83" i="1"/>
  <c r="Z75" i="1" s="1"/>
  <c r="T73" i="1"/>
  <c r="AA74" i="1" s="1"/>
  <c r="T116" i="1"/>
  <c r="AD78" i="1" s="1"/>
  <c r="T96" i="1"/>
  <c r="AD76" i="1" s="1"/>
  <c r="T126" i="1"/>
  <c r="AD79" i="1" s="1"/>
  <c r="T76" i="1"/>
  <c r="AD74" i="1" s="1"/>
  <c r="S73" i="1"/>
  <c r="Z74" i="1" s="1"/>
  <c r="S93" i="1"/>
  <c r="Z76" i="1" s="1"/>
  <c r="S103" i="1"/>
  <c r="Z77" i="1" s="1"/>
  <c r="S113" i="1"/>
  <c r="Z78" i="1" s="1"/>
  <c r="S123" i="1"/>
  <c r="Z79" i="1" s="1"/>
  <c r="T83" i="1"/>
  <c r="AA75" i="1" s="1"/>
  <c r="S70" i="1"/>
  <c r="W74" i="1" s="1"/>
  <c r="S80" i="1"/>
  <c r="W75" i="1" s="1"/>
  <c r="S90" i="1"/>
  <c r="W76" i="1" s="1"/>
  <c r="S100" i="1"/>
  <c r="W77" i="1" s="1"/>
  <c r="S110" i="1"/>
  <c r="W78" i="1" s="1"/>
  <c r="H125" i="1"/>
  <c r="I125" i="1" s="1"/>
  <c r="H124" i="1"/>
  <c r="K124" i="1" s="1"/>
  <c r="D144" i="3"/>
  <c r="E144" i="3"/>
  <c r="D145" i="3"/>
  <c r="E145" i="3"/>
  <c r="T41" i="3" l="1"/>
  <c r="Z44" i="3"/>
  <c r="T112" i="3"/>
  <c r="T40" i="3"/>
  <c r="Z145" i="3"/>
  <c r="T122" i="3"/>
  <c r="T35" i="3"/>
  <c r="T34" i="3"/>
  <c r="T37" i="3"/>
  <c r="AA70" i="3"/>
  <c r="T124" i="3"/>
  <c r="T125" i="3"/>
  <c r="T56" i="3"/>
  <c r="T66" i="3"/>
  <c r="T50" i="3"/>
  <c r="T126" i="3"/>
  <c r="T47" i="3"/>
  <c r="T69" i="3"/>
  <c r="S134" i="3"/>
  <c r="T146" i="3"/>
  <c r="T45" i="3"/>
  <c r="T55" i="3"/>
  <c r="T65" i="3"/>
  <c r="T118" i="3"/>
  <c r="T70" i="3"/>
  <c r="T63" i="3"/>
  <c r="T145" i="3"/>
  <c r="T54" i="3"/>
  <c r="T139" i="3"/>
  <c r="S63" i="3"/>
  <c r="T128" i="3"/>
  <c r="T43" i="3"/>
  <c r="T129" i="3"/>
  <c r="T68" i="3"/>
  <c r="V114" i="3"/>
  <c r="AJ89" i="3" s="1"/>
  <c r="T131" i="3"/>
  <c r="T71" i="3"/>
  <c r="T64" i="3"/>
  <c r="T134" i="3"/>
  <c r="T51" i="3"/>
  <c r="Z47" i="3"/>
  <c r="T57" i="3"/>
  <c r="T48" i="3"/>
  <c r="T143" i="3"/>
  <c r="T60" i="3"/>
  <c r="T67" i="3"/>
  <c r="T123" i="3"/>
  <c r="U121" i="3" s="1"/>
  <c r="AF90" i="3" s="1"/>
  <c r="T130" i="3"/>
  <c r="AA135" i="3"/>
  <c r="T46" i="3"/>
  <c r="T141" i="3"/>
  <c r="T120" i="3"/>
  <c r="T132" i="3"/>
  <c r="T49" i="3"/>
  <c r="T144" i="3"/>
  <c r="S53" i="3"/>
  <c r="S43" i="3"/>
  <c r="T44" i="3"/>
  <c r="T119" i="3"/>
  <c r="AA145" i="3"/>
  <c r="AA50" i="3"/>
  <c r="T140" i="3"/>
  <c r="U138" i="3" s="1"/>
  <c r="AC92" i="3" s="1"/>
  <c r="S46" i="3"/>
  <c r="T58" i="3"/>
  <c r="S124" i="3"/>
  <c r="S144" i="3"/>
  <c r="T61" i="3"/>
  <c r="Z135" i="3"/>
  <c r="Z119" i="3"/>
  <c r="Z64" i="3"/>
  <c r="AA125" i="3"/>
  <c r="Z54" i="3"/>
  <c r="AA142" i="3"/>
  <c r="Z67" i="3"/>
  <c r="Z122" i="3"/>
  <c r="Z139" i="3"/>
  <c r="Z129" i="3"/>
  <c r="Z132" i="3"/>
  <c r="Z50" i="3"/>
  <c r="Z142" i="3"/>
  <c r="Z57" i="3"/>
  <c r="Z125" i="3"/>
  <c r="Z70" i="3"/>
  <c r="Z60" i="3"/>
  <c r="AA119" i="3"/>
  <c r="AA132" i="3"/>
  <c r="AA139" i="3"/>
  <c r="AA122" i="3"/>
  <c r="AA57" i="3"/>
  <c r="AA64" i="3"/>
  <c r="AA67" i="3"/>
  <c r="AA60" i="3"/>
  <c r="AA54" i="3"/>
  <c r="AA47" i="3"/>
  <c r="AA129" i="3"/>
  <c r="H144" i="3"/>
  <c r="H145" i="3"/>
  <c r="J145" i="3" s="1"/>
  <c r="J124" i="1"/>
  <c r="J125" i="1"/>
  <c r="K125" i="1"/>
  <c r="L124" i="1" s="1"/>
  <c r="I124" i="1"/>
  <c r="E123" i="1"/>
  <c r="D123" i="1"/>
  <c r="E122" i="1"/>
  <c r="D122" i="1"/>
  <c r="E121" i="1"/>
  <c r="D121" i="1"/>
  <c r="E120" i="1"/>
  <c r="D120" i="1"/>
  <c r="F119" i="1"/>
  <c r="E119" i="1"/>
  <c r="D119" i="1"/>
  <c r="F118" i="1"/>
  <c r="E118" i="1"/>
  <c r="D118" i="1"/>
  <c r="F117" i="1"/>
  <c r="E117" i="1"/>
  <c r="D117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F109" i="1"/>
  <c r="E109" i="1"/>
  <c r="D109" i="1"/>
  <c r="F108" i="1"/>
  <c r="E108" i="1"/>
  <c r="D108" i="1"/>
  <c r="F107" i="1"/>
  <c r="E107" i="1"/>
  <c r="D107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F99" i="1"/>
  <c r="E99" i="1"/>
  <c r="D99" i="1"/>
  <c r="F98" i="1"/>
  <c r="E98" i="1"/>
  <c r="D98" i="1"/>
  <c r="F97" i="1"/>
  <c r="E97" i="1"/>
  <c r="D97" i="1"/>
  <c r="E95" i="1"/>
  <c r="D95" i="1"/>
  <c r="E94" i="1"/>
  <c r="D94" i="1"/>
  <c r="E93" i="1"/>
  <c r="D93" i="1"/>
  <c r="E92" i="1"/>
  <c r="D92" i="1"/>
  <c r="E91" i="1"/>
  <c r="D91" i="1"/>
  <c r="E90" i="1"/>
  <c r="D90" i="1"/>
  <c r="F89" i="1"/>
  <c r="E89" i="1"/>
  <c r="D89" i="1"/>
  <c r="F88" i="1"/>
  <c r="E88" i="1"/>
  <c r="D88" i="1"/>
  <c r="F87" i="1"/>
  <c r="E87" i="1"/>
  <c r="D87" i="1"/>
  <c r="E85" i="1"/>
  <c r="D85" i="1"/>
  <c r="E84" i="1"/>
  <c r="D84" i="1"/>
  <c r="E83" i="1"/>
  <c r="D83" i="1"/>
  <c r="E82" i="1"/>
  <c r="D82" i="1"/>
  <c r="E81" i="1"/>
  <c r="D81" i="1"/>
  <c r="E80" i="1"/>
  <c r="D80" i="1"/>
  <c r="F79" i="1"/>
  <c r="E79" i="1"/>
  <c r="D79" i="1"/>
  <c r="F78" i="1"/>
  <c r="E78" i="1"/>
  <c r="D78" i="1"/>
  <c r="F77" i="1"/>
  <c r="E77" i="1"/>
  <c r="D77" i="1"/>
  <c r="E75" i="1"/>
  <c r="D75" i="1"/>
  <c r="E74" i="1"/>
  <c r="D74" i="1"/>
  <c r="E73" i="1"/>
  <c r="D73" i="1"/>
  <c r="E72" i="1"/>
  <c r="D72" i="1"/>
  <c r="E71" i="1"/>
  <c r="D71" i="1"/>
  <c r="E70" i="1"/>
  <c r="D70" i="1"/>
  <c r="F69" i="1"/>
  <c r="E69" i="1"/>
  <c r="D69" i="1"/>
  <c r="F68" i="1"/>
  <c r="E68" i="1"/>
  <c r="D68" i="1"/>
  <c r="F67" i="1"/>
  <c r="E67" i="1"/>
  <c r="D67" i="1"/>
  <c r="E61" i="1"/>
  <c r="D61" i="1"/>
  <c r="E60" i="1"/>
  <c r="D60" i="1"/>
  <c r="E59" i="1"/>
  <c r="D59" i="1"/>
  <c r="E58" i="1"/>
  <c r="D58" i="1"/>
  <c r="E57" i="1"/>
  <c r="D57" i="1"/>
  <c r="E56" i="1"/>
  <c r="D56" i="1"/>
  <c r="F55" i="1"/>
  <c r="E55" i="1"/>
  <c r="D55" i="1"/>
  <c r="F54" i="1"/>
  <c r="E54" i="1"/>
  <c r="D54" i="1"/>
  <c r="F53" i="1"/>
  <c r="E53" i="1"/>
  <c r="D53" i="1"/>
  <c r="E51" i="1"/>
  <c r="D51" i="1"/>
  <c r="E50" i="1"/>
  <c r="D50" i="1"/>
  <c r="E49" i="1"/>
  <c r="D49" i="1"/>
  <c r="E48" i="1"/>
  <c r="D48" i="1"/>
  <c r="E47" i="1"/>
  <c r="D47" i="1"/>
  <c r="E46" i="1"/>
  <c r="D46" i="1"/>
  <c r="F45" i="1"/>
  <c r="E45" i="1"/>
  <c r="D45" i="1"/>
  <c r="F44" i="1"/>
  <c r="E44" i="1"/>
  <c r="D44" i="1"/>
  <c r="F43" i="1"/>
  <c r="E43" i="1"/>
  <c r="D43" i="1"/>
  <c r="E41" i="1"/>
  <c r="D41" i="1"/>
  <c r="E40" i="1"/>
  <c r="D40" i="1"/>
  <c r="E39" i="1"/>
  <c r="D39" i="1"/>
  <c r="E38" i="1"/>
  <c r="D38" i="1"/>
  <c r="E37" i="1"/>
  <c r="D37" i="1"/>
  <c r="E36" i="1"/>
  <c r="D36" i="1"/>
  <c r="F35" i="1"/>
  <c r="E35" i="1"/>
  <c r="D35" i="1"/>
  <c r="F34" i="1"/>
  <c r="E34" i="1"/>
  <c r="D34" i="1"/>
  <c r="F33" i="1"/>
  <c r="E33" i="1"/>
  <c r="D33" i="1"/>
  <c r="E31" i="1"/>
  <c r="D31" i="1"/>
  <c r="E30" i="1"/>
  <c r="D30" i="1"/>
  <c r="E29" i="1"/>
  <c r="D29" i="1"/>
  <c r="E28" i="1"/>
  <c r="D28" i="1"/>
  <c r="E27" i="1"/>
  <c r="D27" i="1"/>
  <c r="E26" i="1"/>
  <c r="D26" i="1"/>
  <c r="F25" i="1"/>
  <c r="E25" i="1"/>
  <c r="D25" i="1"/>
  <c r="F24" i="1"/>
  <c r="E24" i="1"/>
  <c r="D24" i="1"/>
  <c r="F23" i="1"/>
  <c r="E23" i="1"/>
  <c r="D23" i="1"/>
  <c r="E21" i="1"/>
  <c r="D21" i="1"/>
  <c r="E20" i="1"/>
  <c r="D20" i="1"/>
  <c r="E19" i="1"/>
  <c r="D19" i="1"/>
  <c r="E18" i="1"/>
  <c r="D18" i="1"/>
  <c r="E17" i="1"/>
  <c r="D17" i="1"/>
  <c r="E16" i="1"/>
  <c r="D16" i="1"/>
  <c r="F15" i="1"/>
  <c r="E15" i="1"/>
  <c r="D15" i="1"/>
  <c r="F14" i="1"/>
  <c r="E14" i="1"/>
  <c r="D14" i="1"/>
  <c r="F13" i="1"/>
  <c r="E13" i="1"/>
  <c r="D13" i="1"/>
  <c r="E11" i="1"/>
  <c r="D11" i="1"/>
  <c r="E10" i="1"/>
  <c r="D10" i="1"/>
  <c r="E9" i="1"/>
  <c r="D9" i="1"/>
  <c r="E8" i="1"/>
  <c r="D8" i="1"/>
  <c r="E7" i="1"/>
  <c r="D7" i="1"/>
  <c r="E6" i="1"/>
  <c r="D6" i="1"/>
  <c r="F5" i="1"/>
  <c r="E5" i="1"/>
  <c r="D5" i="1"/>
  <c r="F4" i="1"/>
  <c r="E4" i="1"/>
  <c r="D4" i="1"/>
  <c r="F3" i="1"/>
  <c r="E3" i="1"/>
  <c r="D3" i="1"/>
  <c r="E143" i="3"/>
  <c r="D143" i="3"/>
  <c r="E142" i="3"/>
  <c r="D142" i="3"/>
  <c r="E141" i="3"/>
  <c r="D141" i="3"/>
  <c r="E140" i="3"/>
  <c r="D140" i="3"/>
  <c r="F139" i="3"/>
  <c r="E139" i="3"/>
  <c r="D139" i="3"/>
  <c r="F138" i="3"/>
  <c r="E138" i="3"/>
  <c r="D138" i="3"/>
  <c r="F137" i="3"/>
  <c r="E137" i="3"/>
  <c r="D137" i="3"/>
  <c r="E135" i="3"/>
  <c r="D135" i="3"/>
  <c r="E134" i="3"/>
  <c r="D134" i="3"/>
  <c r="Q137" i="3"/>
  <c r="E133" i="3"/>
  <c r="D133" i="3"/>
  <c r="E132" i="3"/>
  <c r="D132" i="3"/>
  <c r="E131" i="3"/>
  <c r="D131" i="3"/>
  <c r="E130" i="3"/>
  <c r="D130" i="3"/>
  <c r="F129" i="3"/>
  <c r="E129" i="3"/>
  <c r="D129" i="3"/>
  <c r="F128" i="3"/>
  <c r="E128" i="3"/>
  <c r="D128" i="3"/>
  <c r="F127" i="3"/>
  <c r="E127" i="3"/>
  <c r="D127" i="3"/>
  <c r="E125" i="3"/>
  <c r="D125" i="3"/>
  <c r="E124" i="3"/>
  <c r="D124" i="3"/>
  <c r="Q127" i="3"/>
  <c r="E123" i="3"/>
  <c r="D123" i="3"/>
  <c r="E122" i="3"/>
  <c r="D122" i="3"/>
  <c r="E121" i="3"/>
  <c r="D121" i="3"/>
  <c r="E120" i="3"/>
  <c r="D120" i="3"/>
  <c r="F119" i="3"/>
  <c r="E119" i="3"/>
  <c r="D119" i="3"/>
  <c r="F118" i="3"/>
  <c r="E118" i="3"/>
  <c r="D118" i="3"/>
  <c r="F117" i="3"/>
  <c r="E117" i="3"/>
  <c r="D117" i="3"/>
  <c r="E115" i="3"/>
  <c r="D115" i="3"/>
  <c r="E114" i="3"/>
  <c r="D114" i="3"/>
  <c r="Q117" i="3"/>
  <c r="E113" i="3"/>
  <c r="D113" i="3"/>
  <c r="E112" i="3"/>
  <c r="D112" i="3"/>
  <c r="E111" i="3"/>
  <c r="D111" i="3"/>
  <c r="E110" i="3"/>
  <c r="D110" i="3"/>
  <c r="F109" i="3"/>
  <c r="E109" i="3"/>
  <c r="D109" i="3"/>
  <c r="F108" i="3"/>
  <c r="E108" i="3"/>
  <c r="D108" i="3"/>
  <c r="F107" i="3"/>
  <c r="E107" i="3"/>
  <c r="D107" i="3"/>
  <c r="E105" i="3"/>
  <c r="D105" i="3"/>
  <c r="E104" i="3"/>
  <c r="D104" i="3"/>
  <c r="Q107" i="3"/>
  <c r="E103" i="3"/>
  <c r="D103" i="3"/>
  <c r="E102" i="3"/>
  <c r="D102" i="3"/>
  <c r="E101" i="3"/>
  <c r="D101" i="3"/>
  <c r="E100" i="3"/>
  <c r="D100" i="3"/>
  <c r="F99" i="3"/>
  <c r="E99" i="3"/>
  <c r="D99" i="3"/>
  <c r="F98" i="3"/>
  <c r="E98" i="3"/>
  <c r="D98" i="3"/>
  <c r="F97" i="3"/>
  <c r="E97" i="3"/>
  <c r="D97" i="3"/>
  <c r="E95" i="3"/>
  <c r="D95" i="3"/>
  <c r="E94" i="3"/>
  <c r="D94" i="3"/>
  <c r="Q97" i="3"/>
  <c r="E93" i="3"/>
  <c r="D93" i="3"/>
  <c r="E92" i="3"/>
  <c r="D92" i="3"/>
  <c r="E91" i="3"/>
  <c r="D91" i="3"/>
  <c r="E90" i="3"/>
  <c r="D90" i="3"/>
  <c r="F89" i="3"/>
  <c r="E89" i="3"/>
  <c r="D89" i="3"/>
  <c r="F88" i="3"/>
  <c r="E88" i="3"/>
  <c r="D88" i="3"/>
  <c r="F87" i="3"/>
  <c r="E87" i="3"/>
  <c r="D87" i="3"/>
  <c r="Q89" i="3"/>
  <c r="R89" i="3" s="1"/>
  <c r="S88" i="3" s="1"/>
  <c r="E85" i="3"/>
  <c r="D85" i="3"/>
  <c r="E84" i="3"/>
  <c r="D84" i="3"/>
  <c r="E83" i="3"/>
  <c r="D83" i="3"/>
  <c r="E82" i="3"/>
  <c r="D82" i="3"/>
  <c r="E81" i="3"/>
  <c r="D81" i="3"/>
  <c r="E80" i="3"/>
  <c r="D80" i="3"/>
  <c r="F79" i="3"/>
  <c r="E79" i="3"/>
  <c r="D79" i="3"/>
  <c r="F78" i="3"/>
  <c r="E78" i="3"/>
  <c r="D78" i="3"/>
  <c r="F77" i="3"/>
  <c r="E77" i="3"/>
  <c r="D77" i="3"/>
  <c r="E71" i="3"/>
  <c r="D71" i="3"/>
  <c r="E70" i="3"/>
  <c r="D70" i="3"/>
  <c r="E69" i="3"/>
  <c r="D69" i="3"/>
  <c r="E68" i="3"/>
  <c r="D68" i="3"/>
  <c r="E67" i="3"/>
  <c r="D67" i="3"/>
  <c r="E66" i="3"/>
  <c r="D66" i="3"/>
  <c r="F65" i="3"/>
  <c r="E65" i="3"/>
  <c r="D65" i="3"/>
  <c r="F64" i="3"/>
  <c r="E64" i="3"/>
  <c r="D64" i="3"/>
  <c r="F63" i="3"/>
  <c r="E63" i="3"/>
  <c r="D63" i="3"/>
  <c r="E61" i="3"/>
  <c r="D61" i="3"/>
  <c r="E60" i="3"/>
  <c r="D60" i="3"/>
  <c r="Q62" i="3"/>
  <c r="E59" i="3"/>
  <c r="D59" i="3"/>
  <c r="E58" i="3"/>
  <c r="D58" i="3"/>
  <c r="E57" i="3"/>
  <c r="D57" i="3"/>
  <c r="E56" i="3"/>
  <c r="D56" i="3"/>
  <c r="F55" i="3"/>
  <c r="E55" i="3"/>
  <c r="D55" i="3"/>
  <c r="F54" i="3"/>
  <c r="E54" i="3"/>
  <c r="D54" i="3"/>
  <c r="F53" i="3"/>
  <c r="E53" i="3"/>
  <c r="D53" i="3"/>
  <c r="E51" i="3"/>
  <c r="D51" i="3"/>
  <c r="E50" i="3"/>
  <c r="D50" i="3"/>
  <c r="Q52" i="3"/>
  <c r="E49" i="3"/>
  <c r="D49" i="3"/>
  <c r="E48" i="3"/>
  <c r="D48" i="3"/>
  <c r="E47" i="3"/>
  <c r="D47" i="3"/>
  <c r="E46" i="3"/>
  <c r="D46" i="3"/>
  <c r="F45" i="3"/>
  <c r="E45" i="3"/>
  <c r="D45" i="3"/>
  <c r="F44" i="3"/>
  <c r="E44" i="3"/>
  <c r="D44" i="3"/>
  <c r="F43" i="3"/>
  <c r="E43" i="3"/>
  <c r="D43" i="3"/>
  <c r="E41" i="3"/>
  <c r="D41" i="3"/>
  <c r="E40" i="3"/>
  <c r="D40" i="3"/>
  <c r="Q42" i="3"/>
  <c r="E39" i="3"/>
  <c r="D39" i="3"/>
  <c r="E38" i="3"/>
  <c r="D38" i="3"/>
  <c r="E37" i="3"/>
  <c r="D37" i="3"/>
  <c r="E36" i="3"/>
  <c r="D36" i="3"/>
  <c r="F35" i="3"/>
  <c r="E35" i="3"/>
  <c r="D35" i="3"/>
  <c r="F34" i="3"/>
  <c r="E34" i="3"/>
  <c r="D34" i="3"/>
  <c r="F33" i="3"/>
  <c r="E33" i="3"/>
  <c r="D33" i="3"/>
  <c r="E31" i="3"/>
  <c r="D31" i="3"/>
  <c r="E30" i="3"/>
  <c r="D30" i="3"/>
  <c r="Q32" i="3"/>
  <c r="E29" i="3"/>
  <c r="D29" i="3"/>
  <c r="E28" i="3"/>
  <c r="D28" i="3"/>
  <c r="E27" i="3"/>
  <c r="D27" i="3"/>
  <c r="E26" i="3"/>
  <c r="D26" i="3"/>
  <c r="F25" i="3"/>
  <c r="E25" i="3"/>
  <c r="D25" i="3"/>
  <c r="F24" i="3"/>
  <c r="E24" i="3"/>
  <c r="D24" i="3"/>
  <c r="F23" i="3"/>
  <c r="E23" i="3"/>
  <c r="D23" i="3"/>
  <c r="E21" i="3"/>
  <c r="D21" i="3"/>
  <c r="E20" i="3"/>
  <c r="D20" i="3"/>
  <c r="Q22" i="3"/>
  <c r="E19" i="3"/>
  <c r="D19" i="3"/>
  <c r="E18" i="3"/>
  <c r="D18" i="3"/>
  <c r="E17" i="3"/>
  <c r="D17" i="3"/>
  <c r="E16" i="3"/>
  <c r="D16" i="3"/>
  <c r="F15" i="3"/>
  <c r="E15" i="3"/>
  <c r="D15" i="3"/>
  <c r="F14" i="3"/>
  <c r="E14" i="3"/>
  <c r="D14" i="3"/>
  <c r="F13" i="3"/>
  <c r="E13" i="3"/>
  <c r="D13" i="3"/>
  <c r="E11" i="3"/>
  <c r="D11" i="3"/>
  <c r="E10" i="3"/>
  <c r="D10" i="3"/>
  <c r="E9" i="3"/>
  <c r="D9" i="3"/>
  <c r="E8" i="3"/>
  <c r="D8" i="3"/>
  <c r="E7" i="3"/>
  <c r="D7" i="3"/>
  <c r="E6" i="3"/>
  <c r="D6" i="3"/>
  <c r="F5" i="3"/>
  <c r="E5" i="3"/>
  <c r="D5" i="3"/>
  <c r="F4" i="3"/>
  <c r="E4" i="3"/>
  <c r="D4" i="3"/>
  <c r="F3" i="3"/>
  <c r="E3" i="3"/>
  <c r="D3" i="3"/>
  <c r="U124" i="3" l="1"/>
  <c r="AI90" i="3" s="1"/>
  <c r="U59" i="3"/>
  <c r="AI18" i="3" s="1"/>
  <c r="V69" i="3"/>
  <c r="AJ19" i="3" s="1"/>
  <c r="V56" i="3"/>
  <c r="AG18" i="3" s="1"/>
  <c r="V66" i="3"/>
  <c r="AG19" i="3" s="1"/>
  <c r="V124" i="3"/>
  <c r="AJ90" i="3" s="1"/>
  <c r="U53" i="3"/>
  <c r="AC18" i="3" s="1"/>
  <c r="U66" i="3"/>
  <c r="AF19" i="3" s="1"/>
  <c r="V49" i="3"/>
  <c r="AJ17" i="3" s="1"/>
  <c r="U69" i="3"/>
  <c r="AI19" i="3" s="1"/>
  <c r="V33" i="3"/>
  <c r="AD16" i="3" s="1"/>
  <c r="U114" i="3"/>
  <c r="AI89" i="3" s="1"/>
  <c r="V36" i="3"/>
  <c r="AG16" i="3" s="1"/>
  <c r="U36" i="3"/>
  <c r="AF16" i="3" s="1"/>
  <c r="U118" i="3"/>
  <c r="AC90" i="3" s="1"/>
  <c r="V43" i="3"/>
  <c r="AD17" i="3" s="1"/>
  <c r="U43" i="3"/>
  <c r="AC17" i="3" s="1"/>
  <c r="V118" i="3"/>
  <c r="AD90" i="3" s="1"/>
  <c r="U134" i="3"/>
  <c r="AI91" i="3" s="1"/>
  <c r="V134" i="3"/>
  <c r="AJ91" i="3" s="1"/>
  <c r="V141" i="3"/>
  <c r="AG92" i="3" s="1"/>
  <c r="U141" i="3"/>
  <c r="AF92" i="3" s="1"/>
  <c r="V128" i="3"/>
  <c r="AD91" i="3" s="1"/>
  <c r="U128" i="3"/>
  <c r="AC91" i="3" s="1"/>
  <c r="U46" i="3"/>
  <c r="AF17" i="3" s="1"/>
  <c r="V46" i="3"/>
  <c r="AG17" i="3" s="1"/>
  <c r="U56" i="3"/>
  <c r="AF18" i="3" s="1"/>
  <c r="V53" i="3"/>
  <c r="AD18" i="3" s="1"/>
  <c r="U131" i="3"/>
  <c r="AF91" i="3" s="1"/>
  <c r="V131" i="3"/>
  <c r="AG91" i="3" s="1"/>
  <c r="V138" i="3"/>
  <c r="AD92" i="3" s="1"/>
  <c r="U39" i="3"/>
  <c r="AI16" i="3" s="1"/>
  <c r="V39" i="3"/>
  <c r="AJ16" i="3" s="1"/>
  <c r="V144" i="3"/>
  <c r="AJ92" i="3" s="1"/>
  <c r="U144" i="3"/>
  <c r="AI92" i="3" s="1"/>
  <c r="U33" i="3"/>
  <c r="AC16" i="3" s="1"/>
  <c r="V59" i="3"/>
  <c r="AJ18" i="3" s="1"/>
  <c r="V111" i="3"/>
  <c r="AG89" i="3" s="1"/>
  <c r="U111" i="3"/>
  <c r="AF89" i="3" s="1"/>
  <c r="V121" i="3"/>
  <c r="AG90" i="3" s="1"/>
  <c r="V108" i="3"/>
  <c r="AD89" i="3" s="1"/>
  <c r="U108" i="3"/>
  <c r="AC89" i="3" s="1"/>
  <c r="U49" i="3"/>
  <c r="AI17" i="3" s="1"/>
  <c r="V63" i="3"/>
  <c r="AD19" i="3" s="1"/>
  <c r="U63" i="3"/>
  <c r="AC19" i="3" s="1"/>
  <c r="H137" i="3"/>
  <c r="X88" i="3"/>
  <c r="AD78" i="3" s="1"/>
  <c r="W88" i="3"/>
  <c r="AC78" i="3" s="1"/>
  <c r="I144" i="3"/>
  <c r="H9" i="3"/>
  <c r="H19" i="3"/>
  <c r="K19" i="3" s="1"/>
  <c r="H61" i="3"/>
  <c r="K61" i="3" s="1"/>
  <c r="H65" i="3"/>
  <c r="K65" i="3" s="1"/>
  <c r="H80" i="3"/>
  <c r="K80" i="3" s="1"/>
  <c r="N80" i="3" s="1"/>
  <c r="H128" i="3"/>
  <c r="K128" i="3" s="1"/>
  <c r="H49" i="3"/>
  <c r="K49" i="3" s="1"/>
  <c r="H115" i="3"/>
  <c r="K115" i="3" s="1"/>
  <c r="H119" i="3"/>
  <c r="H134" i="3"/>
  <c r="K134" i="3" s="1"/>
  <c r="H107" i="3"/>
  <c r="K107" i="3" s="1"/>
  <c r="H51" i="3"/>
  <c r="K51" i="3" s="1"/>
  <c r="H30" i="3"/>
  <c r="H82" i="3"/>
  <c r="K82" i="3" s="1"/>
  <c r="N82" i="3" s="1"/>
  <c r="H100" i="3"/>
  <c r="K100" i="3" s="1"/>
  <c r="J144" i="3"/>
  <c r="K145" i="3"/>
  <c r="K144" i="3"/>
  <c r="I145" i="3"/>
  <c r="H44" i="1"/>
  <c r="H73" i="1"/>
  <c r="K73" i="1" s="1"/>
  <c r="H85" i="1"/>
  <c r="K85" i="1" s="1"/>
  <c r="H36" i="3"/>
  <c r="K36" i="3" s="1"/>
  <c r="H58" i="3"/>
  <c r="H133" i="3"/>
  <c r="K133" i="3" s="1"/>
  <c r="H34" i="3"/>
  <c r="K34" i="3" s="1"/>
  <c r="H37" i="3"/>
  <c r="K37" i="3" s="1"/>
  <c r="H48" i="3"/>
  <c r="H88" i="3"/>
  <c r="K88" i="3" s="1"/>
  <c r="H127" i="3"/>
  <c r="K127" i="3" s="1"/>
  <c r="H138" i="3"/>
  <c r="K138" i="3" s="1"/>
  <c r="H141" i="3"/>
  <c r="K141" i="3" s="1"/>
  <c r="H131" i="3"/>
  <c r="K131" i="3" s="1"/>
  <c r="H39" i="3"/>
  <c r="K39" i="3" s="1"/>
  <c r="H54" i="3"/>
  <c r="K54" i="3" s="1"/>
  <c r="H108" i="3"/>
  <c r="H111" i="3"/>
  <c r="K111" i="3" s="1"/>
  <c r="H143" i="3"/>
  <c r="K143" i="3" s="1"/>
  <c r="H10" i="3"/>
  <c r="K10" i="3" s="1"/>
  <c r="H13" i="3"/>
  <c r="K13" i="3" s="1"/>
  <c r="H44" i="3"/>
  <c r="K44" i="3" s="1"/>
  <c r="H94" i="3"/>
  <c r="K94" i="3" s="1"/>
  <c r="H25" i="3"/>
  <c r="K25" i="3" s="1"/>
  <c r="H95" i="3"/>
  <c r="K95" i="3" s="1"/>
  <c r="H99" i="3"/>
  <c r="K99" i="3" s="1"/>
  <c r="H8" i="3"/>
  <c r="K8" i="3" s="1"/>
  <c r="H35" i="3"/>
  <c r="H85" i="3"/>
  <c r="K85" i="3" s="1"/>
  <c r="N85" i="3" s="1"/>
  <c r="H114" i="3"/>
  <c r="K114" i="3" s="1"/>
  <c r="H71" i="3"/>
  <c r="H20" i="3"/>
  <c r="K20" i="3" s="1"/>
  <c r="H28" i="3"/>
  <c r="H117" i="3"/>
  <c r="H55" i="3"/>
  <c r="K55" i="3" s="1"/>
  <c r="H97" i="3"/>
  <c r="K97" i="3" s="1"/>
  <c r="H101" i="3"/>
  <c r="K101" i="3" s="1"/>
  <c r="H53" i="3"/>
  <c r="K53" i="3" s="1"/>
  <c r="H66" i="3"/>
  <c r="K66" i="3" s="1"/>
  <c r="H70" i="3"/>
  <c r="H104" i="3"/>
  <c r="K104" i="3" s="1"/>
  <c r="H118" i="3"/>
  <c r="K118" i="3" s="1"/>
  <c r="H3" i="3"/>
  <c r="K3" i="3" s="1"/>
  <c r="H29" i="3"/>
  <c r="K29" i="3" s="1"/>
  <c r="H33" i="3"/>
  <c r="H41" i="3"/>
  <c r="K41" i="3" s="1"/>
  <c r="H45" i="3"/>
  <c r="K45" i="3" s="1"/>
  <c r="H78" i="3"/>
  <c r="K78" i="3" s="1"/>
  <c r="N78" i="3" s="1"/>
  <c r="H87" i="3"/>
  <c r="K87" i="3" s="1"/>
  <c r="H89" i="3"/>
  <c r="K89" i="3" s="1"/>
  <c r="H105" i="3"/>
  <c r="K105" i="3" s="1"/>
  <c r="H112" i="3"/>
  <c r="K112" i="3" s="1"/>
  <c r="H122" i="3"/>
  <c r="K122" i="3" s="1"/>
  <c r="H125" i="3"/>
  <c r="K125" i="3" s="1"/>
  <c r="H139" i="3"/>
  <c r="H27" i="3"/>
  <c r="K27" i="3" s="1"/>
  <c r="H56" i="3"/>
  <c r="K56" i="3" s="1"/>
  <c r="H110" i="3"/>
  <c r="K110" i="3" s="1"/>
  <c r="H92" i="3"/>
  <c r="K92" i="3" s="1"/>
  <c r="H130" i="3"/>
  <c r="H140" i="3"/>
  <c r="H4" i="3"/>
  <c r="K4" i="3" s="1"/>
  <c r="H14" i="3"/>
  <c r="H16" i="3"/>
  <c r="K16" i="3" s="1"/>
  <c r="H60" i="3"/>
  <c r="H77" i="3"/>
  <c r="K77" i="3" s="1"/>
  <c r="N77" i="3" s="1"/>
  <c r="H121" i="3"/>
  <c r="K121" i="3" s="1"/>
  <c r="H124" i="3"/>
  <c r="H31" i="3"/>
  <c r="K31" i="3" s="1"/>
  <c r="H69" i="3"/>
  <c r="K69" i="3" s="1"/>
  <c r="H84" i="3"/>
  <c r="K84" i="3" s="1"/>
  <c r="N84" i="3" s="1"/>
  <c r="H91" i="3"/>
  <c r="H75" i="1"/>
  <c r="K75" i="1" s="1"/>
  <c r="H8" i="1"/>
  <c r="K8" i="1" s="1"/>
  <c r="M125" i="1"/>
  <c r="L125" i="1"/>
  <c r="M124" i="1"/>
  <c r="H18" i="1"/>
  <c r="K18" i="1" s="1"/>
  <c r="H115" i="1"/>
  <c r="K115" i="1" s="1"/>
  <c r="H119" i="1"/>
  <c r="K119" i="1" s="1"/>
  <c r="H9" i="1"/>
  <c r="K9" i="1" s="1"/>
  <c r="H56" i="1"/>
  <c r="K56" i="1" s="1"/>
  <c r="H40" i="1"/>
  <c r="K40" i="1" s="1"/>
  <c r="H100" i="1"/>
  <c r="K100" i="1" s="1"/>
  <c r="H17" i="1"/>
  <c r="H60" i="1"/>
  <c r="K60" i="1" s="1"/>
  <c r="H78" i="1"/>
  <c r="H88" i="1"/>
  <c r="K88" i="1" s="1"/>
  <c r="H91" i="1"/>
  <c r="K91" i="1" s="1"/>
  <c r="H102" i="1"/>
  <c r="K102" i="1" s="1"/>
  <c r="H21" i="1"/>
  <c r="K21" i="1" s="1"/>
  <c r="H28" i="1"/>
  <c r="K28" i="1" s="1"/>
  <c r="H46" i="1"/>
  <c r="K46" i="1" s="1"/>
  <c r="H61" i="1"/>
  <c r="H95" i="1"/>
  <c r="K95" i="1" s="1"/>
  <c r="H10" i="1"/>
  <c r="K10" i="1" s="1"/>
  <c r="H33" i="1"/>
  <c r="H39" i="1"/>
  <c r="K39" i="1" s="1"/>
  <c r="H50" i="1"/>
  <c r="K50" i="1" s="1"/>
  <c r="H68" i="1"/>
  <c r="K68" i="1" s="1"/>
  <c r="H79" i="1"/>
  <c r="K79" i="1" s="1"/>
  <c r="H103" i="1"/>
  <c r="K103" i="1" s="1"/>
  <c r="H11" i="1"/>
  <c r="K11" i="1" s="1"/>
  <c r="H34" i="1"/>
  <c r="K34" i="1" s="1"/>
  <c r="H59" i="1"/>
  <c r="K59" i="1" s="1"/>
  <c r="H16" i="1"/>
  <c r="K16" i="1" s="1"/>
  <c r="H4" i="1"/>
  <c r="K4" i="1" s="1"/>
  <c r="H6" i="1"/>
  <c r="K6" i="1" s="1"/>
  <c r="H45" i="1"/>
  <c r="K45" i="1" s="1"/>
  <c r="H67" i="1"/>
  <c r="K67" i="1" s="1"/>
  <c r="H69" i="1"/>
  <c r="K69" i="1" s="1"/>
  <c r="H83" i="1"/>
  <c r="K83" i="1" s="1"/>
  <c r="H112" i="1"/>
  <c r="K112" i="1" s="1"/>
  <c r="H53" i="1"/>
  <c r="K53" i="1" s="1"/>
  <c r="H81" i="1"/>
  <c r="K81" i="1" s="1"/>
  <c r="H104" i="1"/>
  <c r="K104" i="1" s="1"/>
  <c r="H114" i="1"/>
  <c r="K114" i="1" s="1"/>
  <c r="H122" i="1"/>
  <c r="K122" i="1" s="1"/>
  <c r="T3" i="1"/>
  <c r="X5" i="1" s="1"/>
  <c r="H36" i="1"/>
  <c r="K36" i="1" s="1"/>
  <c r="H57" i="1"/>
  <c r="K57" i="1" s="1"/>
  <c r="H71" i="1"/>
  <c r="K71" i="1" s="1"/>
  <c r="H77" i="1"/>
  <c r="H30" i="1"/>
  <c r="K30" i="1" s="1"/>
  <c r="H58" i="1"/>
  <c r="K58" i="1" s="1"/>
  <c r="H80" i="1"/>
  <c r="K80" i="1" s="1"/>
  <c r="H93" i="1"/>
  <c r="K93" i="1" s="1"/>
  <c r="AF78" i="3"/>
  <c r="AG78" i="3"/>
  <c r="H57" i="3"/>
  <c r="K57" i="3" s="1"/>
  <c r="H14" i="1"/>
  <c r="K14" i="1" s="1"/>
  <c r="H20" i="1"/>
  <c r="K20" i="1" s="1"/>
  <c r="H26" i="1"/>
  <c r="K26" i="1" s="1"/>
  <c r="H31" i="1"/>
  <c r="K31" i="1" s="1"/>
  <c r="H35" i="1"/>
  <c r="K35" i="1" s="1"/>
  <c r="H38" i="1"/>
  <c r="K38" i="1" s="1"/>
  <c r="H105" i="1"/>
  <c r="H109" i="1"/>
  <c r="K109" i="1" s="1"/>
  <c r="H123" i="1"/>
  <c r="J123" i="1" s="1"/>
  <c r="H5" i="3"/>
  <c r="K5" i="3" s="1"/>
  <c r="H7" i="3"/>
  <c r="K7" i="3" s="1"/>
  <c r="AJ5" i="3"/>
  <c r="H38" i="3"/>
  <c r="H40" i="3"/>
  <c r="K40" i="3" s="1"/>
  <c r="H47" i="3"/>
  <c r="K47" i="3" s="1"/>
  <c r="H50" i="3"/>
  <c r="H68" i="3"/>
  <c r="K68" i="3" s="1"/>
  <c r="H103" i="3"/>
  <c r="H109" i="3"/>
  <c r="H132" i="3"/>
  <c r="H135" i="3"/>
  <c r="K135" i="3" s="1"/>
  <c r="H142" i="3"/>
  <c r="H24" i="1"/>
  <c r="K24" i="1" s="1"/>
  <c r="H29" i="1"/>
  <c r="K29" i="1" s="1"/>
  <c r="H41" i="1"/>
  <c r="K41" i="1" s="1"/>
  <c r="H90" i="3"/>
  <c r="H113" i="1"/>
  <c r="H11" i="3"/>
  <c r="K11" i="3" s="1"/>
  <c r="H79" i="3"/>
  <c r="K79" i="3" s="1"/>
  <c r="N79" i="3" s="1"/>
  <c r="H129" i="3"/>
  <c r="H3" i="1"/>
  <c r="H13" i="1"/>
  <c r="K13" i="1" s="1"/>
  <c r="H19" i="1"/>
  <c r="K19" i="1" s="1"/>
  <c r="H27" i="1"/>
  <c r="K27" i="1" s="1"/>
  <c r="H51" i="1"/>
  <c r="K51" i="1" s="1"/>
  <c r="H55" i="1"/>
  <c r="K55" i="1" s="1"/>
  <c r="H70" i="1"/>
  <c r="H82" i="1"/>
  <c r="H87" i="1"/>
  <c r="K87" i="1" s="1"/>
  <c r="H92" i="1"/>
  <c r="K92" i="1" s="1"/>
  <c r="H94" i="1"/>
  <c r="K94" i="1" s="1"/>
  <c r="H98" i="1"/>
  <c r="K98" i="1" s="1"/>
  <c r="H110" i="1"/>
  <c r="AD6" i="3"/>
  <c r="H59" i="3"/>
  <c r="K59" i="3" s="1"/>
  <c r="H63" i="3"/>
  <c r="H93" i="3"/>
  <c r="K93" i="3" s="1"/>
  <c r="H113" i="3"/>
  <c r="K113" i="3" s="1"/>
  <c r="H123" i="3"/>
  <c r="K123" i="3" s="1"/>
  <c r="S3" i="1"/>
  <c r="W5" i="1" s="1"/>
  <c r="H5" i="1"/>
  <c r="H7" i="1"/>
  <c r="H15" i="1"/>
  <c r="K15" i="1" s="1"/>
  <c r="H25" i="1"/>
  <c r="K25" i="1" s="1"/>
  <c r="H43" i="1"/>
  <c r="K43" i="1" s="1"/>
  <c r="H84" i="1"/>
  <c r="K84" i="1" s="1"/>
  <c r="H90" i="1"/>
  <c r="K90" i="1" s="1"/>
  <c r="H101" i="1"/>
  <c r="K101" i="1" s="1"/>
  <c r="H118" i="1"/>
  <c r="K118" i="1" s="1"/>
  <c r="H108" i="1"/>
  <c r="K108" i="1" s="1"/>
  <c r="H111" i="1"/>
  <c r="K111" i="1" s="1"/>
  <c r="H21" i="3"/>
  <c r="K21" i="3" s="1"/>
  <c r="H83" i="3"/>
  <c r="K83" i="3" s="1"/>
  <c r="N83" i="3" s="1"/>
  <c r="H98" i="3"/>
  <c r="K98" i="3" s="1"/>
  <c r="H102" i="3"/>
  <c r="K102" i="3" s="1"/>
  <c r="H120" i="3"/>
  <c r="H23" i="1"/>
  <c r="K23" i="1" s="1"/>
  <c r="H37" i="1"/>
  <c r="K37" i="1" s="1"/>
  <c r="H74" i="1"/>
  <c r="H15" i="3"/>
  <c r="K15" i="3" s="1"/>
  <c r="H17" i="3"/>
  <c r="K17" i="3" s="1"/>
  <c r="H24" i="3"/>
  <c r="K24" i="3" s="1"/>
  <c r="H26" i="3"/>
  <c r="K26" i="3" s="1"/>
  <c r="H46" i="3"/>
  <c r="K46" i="3" s="1"/>
  <c r="H64" i="3"/>
  <c r="K64" i="3" s="1"/>
  <c r="H67" i="3"/>
  <c r="K67" i="3" s="1"/>
  <c r="H72" i="1"/>
  <c r="K72" i="1" s="1"/>
  <c r="H81" i="3"/>
  <c r="K81" i="3" s="1"/>
  <c r="N81" i="3" s="1"/>
  <c r="H18" i="3"/>
  <c r="K18" i="3" s="1"/>
  <c r="H6" i="3"/>
  <c r="K6" i="3" s="1"/>
  <c r="H117" i="1"/>
  <c r="H99" i="1"/>
  <c r="K99" i="1" s="1"/>
  <c r="H97" i="1"/>
  <c r="K97" i="1" s="1"/>
  <c r="T9" i="1"/>
  <c r="AD5" i="1" s="1"/>
  <c r="S9" i="1"/>
  <c r="AC5" i="1" s="1"/>
  <c r="S19" i="1"/>
  <c r="AC6" i="1" s="1"/>
  <c r="T19" i="1"/>
  <c r="AD6" i="1" s="1"/>
  <c r="T13" i="1"/>
  <c r="X6" i="1" s="1"/>
  <c r="S13" i="1"/>
  <c r="W6" i="1" s="1"/>
  <c r="S6" i="1"/>
  <c r="Z5" i="1" s="1"/>
  <c r="T6" i="1"/>
  <c r="AA5" i="1" s="1"/>
  <c r="T16" i="1"/>
  <c r="AA6" i="1" s="1"/>
  <c r="H48" i="1"/>
  <c r="H107" i="1"/>
  <c r="H121" i="1"/>
  <c r="H47" i="1"/>
  <c r="H49" i="1"/>
  <c r="K44" i="1"/>
  <c r="H54" i="1"/>
  <c r="H89" i="1"/>
  <c r="H120" i="1"/>
  <c r="K108" i="3"/>
  <c r="K140" i="3"/>
  <c r="AI79" i="3"/>
  <c r="AJ79" i="3"/>
  <c r="K119" i="3"/>
  <c r="K137" i="3"/>
  <c r="AI78" i="3"/>
  <c r="AJ78" i="3"/>
  <c r="H43" i="3"/>
  <c r="H23" i="3"/>
  <c r="AF5" i="3"/>
  <c r="AG5" i="3"/>
  <c r="K35" i="3"/>
  <c r="K9" i="3"/>
  <c r="AD5" i="3"/>
  <c r="AC5" i="3"/>
  <c r="AI5" i="3"/>
  <c r="K28" i="3"/>
  <c r="K58" i="3"/>
  <c r="K30" i="3"/>
  <c r="K48" i="3"/>
  <c r="I107" i="3" l="1"/>
  <c r="P80" i="3"/>
  <c r="J66" i="3"/>
  <c r="I49" i="3"/>
  <c r="I36" i="3"/>
  <c r="K109" i="3"/>
  <c r="M107" i="3" s="1"/>
  <c r="J107" i="3"/>
  <c r="I33" i="3"/>
  <c r="I29" i="3"/>
  <c r="I130" i="3"/>
  <c r="J33" i="3"/>
  <c r="K33" i="3"/>
  <c r="M33" i="3" s="1"/>
  <c r="O77" i="3"/>
  <c r="P77" i="3"/>
  <c r="I19" i="3"/>
  <c r="I87" i="3"/>
  <c r="O80" i="3"/>
  <c r="P83" i="3"/>
  <c r="O83" i="3"/>
  <c r="L80" i="3"/>
  <c r="I117" i="3"/>
  <c r="I6" i="3"/>
  <c r="K132" i="3"/>
  <c r="I77" i="3"/>
  <c r="J69" i="3"/>
  <c r="J77" i="3"/>
  <c r="J63" i="3"/>
  <c r="I137" i="3"/>
  <c r="I143" i="3"/>
  <c r="I127" i="3"/>
  <c r="J143" i="3"/>
  <c r="J73" i="1"/>
  <c r="I113" i="3"/>
  <c r="J113" i="3"/>
  <c r="J49" i="3"/>
  <c r="I9" i="3"/>
  <c r="M83" i="1"/>
  <c r="I123" i="1"/>
  <c r="J133" i="3"/>
  <c r="I93" i="3"/>
  <c r="K50" i="3"/>
  <c r="M49" i="3" s="1"/>
  <c r="J19" i="3"/>
  <c r="I97" i="3"/>
  <c r="I120" i="3"/>
  <c r="J87" i="3"/>
  <c r="K117" i="3"/>
  <c r="M117" i="3" s="1"/>
  <c r="K70" i="3"/>
  <c r="M69" i="3" s="1"/>
  <c r="K139" i="3"/>
  <c r="L137" i="3" s="1"/>
  <c r="I123" i="3"/>
  <c r="J56" i="3"/>
  <c r="J137" i="3"/>
  <c r="J127" i="3"/>
  <c r="J117" i="3"/>
  <c r="J130" i="3"/>
  <c r="J80" i="3"/>
  <c r="J9" i="3"/>
  <c r="J43" i="3"/>
  <c r="J140" i="3"/>
  <c r="J59" i="3"/>
  <c r="J123" i="3"/>
  <c r="J83" i="3"/>
  <c r="I69" i="3"/>
  <c r="I56" i="3"/>
  <c r="J97" i="3"/>
  <c r="J90" i="3"/>
  <c r="I13" i="3"/>
  <c r="M26" i="3"/>
  <c r="I53" i="3"/>
  <c r="I46" i="3"/>
  <c r="J23" i="3"/>
  <c r="J103" i="3"/>
  <c r="M80" i="3"/>
  <c r="J46" i="3"/>
  <c r="J53" i="3"/>
  <c r="J120" i="3"/>
  <c r="I140" i="3"/>
  <c r="J100" i="3"/>
  <c r="AC6" i="3"/>
  <c r="I103" i="3"/>
  <c r="AF6" i="3"/>
  <c r="J16" i="3"/>
  <c r="I66" i="3"/>
  <c r="AF79" i="3"/>
  <c r="K90" i="3"/>
  <c r="K130" i="3"/>
  <c r="J93" i="3"/>
  <c r="K38" i="3"/>
  <c r="M36" i="3" s="1"/>
  <c r="K14" i="3"/>
  <c r="M13" i="3" s="1"/>
  <c r="J13" i="3"/>
  <c r="I80" i="3"/>
  <c r="I133" i="3"/>
  <c r="I23" i="3"/>
  <c r="I90" i="3"/>
  <c r="J29" i="3"/>
  <c r="J36" i="3"/>
  <c r="I59" i="3"/>
  <c r="K91" i="3"/>
  <c r="K129" i="3"/>
  <c r="L127" i="3" s="1"/>
  <c r="I100" i="3"/>
  <c r="K63" i="3"/>
  <c r="L63" i="3" s="1"/>
  <c r="I63" i="3"/>
  <c r="I26" i="3"/>
  <c r="J3" i="3"/>
  <c r="I39" i="3"/>
  <c r="I110" i="3"/>
  <c r="K103" i="3"/>
  <c r="M103" i="3" s="1"/>
  <c r="K142" i="3"/>
  <c r="M140" i="3" s="1"/>
  <c r="K120" i="3"/>
  <c r="M120" i="3" s="1"/>
  <c r="I3" i="3"/>
  <c r="J39" i="3"/>
  <c r="K60" i="3"/>
  <c r="M59" i="3" s="1"/>
  <c r="J110" i="3"/>
  <c r="K124" i="3"/>
  <c r="L123" i="3" s="1"/>
  <c r="I83" i="3"/>
  <c r="J26" i="3"/>
  <c r="J59" i="1"/>
  <c r="K123" i="1"/>
  <c r="L123" i="1" s="1"/>
  <c r="I16" i="1"/>
  <c r="I113" i="1"/>
  <c r="J16" i="1"/>
  <c r="I77" i="1"/>
  <c r="K113" i="1"/>
  <c r="M113" i="1" s="1"/>
  <c r="K17" i="1"/>
  <c r="M16" i="1" s="1"/>
  <c r="J33" i="1"/>
  <c r="M9" i="1"/>
  <c r="J100" i="1"/>
  <c r="J9" i="1"/>
  <c r="I59" i="1"/>
  <c r="J67" i="1"/>
  <c r="K3" i="1"/>
  <c r="J19" i="1"/>
  <c r="I33" i="1"/>
  <c r="I73" i="1"/>
  <c r="K78" i="1"/>
  <c r="I43" i="1"/>
  <c r="J43" i="1"/>
  <c r="I80" i="1"/>
  <c r="I103" i="1"/>
  <c r="I93" i="1"/>
  <c r="J93" i="1"/>
  <c r="J36" i="1"/>
  <c r="I19" i="1"/>
  <c r="M36" i="1"/>
  <c r="J77" i="1"/>
  <c r="I67" i="1"/>
  <c r="J26" i="1"/>
  <c r="K77" i="1"/>
  <c r="J87" i="1"/>
  <c r="K33" i="1"/>
  <c r="M33" i="1" s="1"/>
  <c r="J23" i="1"/>
  <c r="J6" i="1"/>
  <c r="J70" i="1"/>
  <c r="I53" i="1"/>
  <c r="K74" i="1"/>
  <c r="L73" i="1" s="1"/>
  <c r="I9" i="1"/>
  <c r="I70" i="1"/>
  <c r="J3" i="1"/>
  <c r="K105" i="1"/>
  <c r="M103" i="1" s="1"/>
  <c r="I3" i="1"/>
  <c r="K5" i="1"/>
  <c r="I117" i="1"/>
  <c r="J103" i="1"/>
  <c r="I56" i="1"/>
  <c r="I6" i="1"/>
  <c r="J56" i="1"/>
  <c r="J46" i="1"/>
  <c r="I23" i="1"/>
  <c r="J29" i="1"/>
  <c r="J113" i="1"/>
  <c r="J110" i="1"/>
  <c r="K7" i="1"/>
  <c r="M6" i="1" s="1"/>
  <c r="I110" i="1"/>
  <c r="K110" i="1"/>
  <c r="L110" i="1" s="1"/>
  <c r="J90" i="1"/>
  <c r="I90" i="1"/>
  <c r="J80" i="1"/>
  <c r="K82" i="1"/>
  <c r="L80" i="1" s="1"/>
  <c r="K70" i="1"/>
  <c r="L70" i="1" s="1"/>
  <c r="K117" i="1"/>
  <c r="M117" i="1" s="1"/>
  <c r="J97" i="1"/>
  <c r="I97" i="1"/>
  <c r="I87" i="1"/>
  <c r="J83" i="1"/>
  <c r="L83" i="1"/>
  <c r="I39" i="1"/>
  <c r="I29" i="1"/>
  <c r="L26" i="3"/>
  <c r="I83" i="1"/>
  <c r="I26" i="1"/>
  <c r="I13" i="1"/>
  <c r="J13" i="1"/>
  <c r="J6" i="3"/>
  <c r="AG6" i="3"/>
  <c r="J39" i="1"/>
  <c r="AG79" i="3"/>
  <c r="I36" i="1"/>
  <c r="S16" i="1"/>
  <c r="Z6" i="1" s="1"/>
  <c r="I100" i="1"/>
  <c r="M46" i="3"/>
  <c r="L46" i="3"/>
  <c r="I16" i="3"/>
  <c r="J117" i="1"/>
  <c r="L97" i="1"/>
  <c r="M97" i="1"/>
  <c r="K49" i="1"/>
  <c r="I49" i="1"/>
  <c r="J49" i="1"/>
  <c r="K47" i="1"/>
  <c r="S26" i="1"/>
  <c r="Z7" i="1" s="1"/>
  <c r="M19" i="1"/>
  <c r="L19" i="1"/>
  <c r="M43" i="1"/>
  <c r="L43" i="1"/>
  <c r="L93" i="1"/>
  <c r="M93" i="1"/>
  <c r="L56" i="1"/>
  <c r="M56" i="1"/>
  <c r="K107" i="1"/>
  <c r="J107" i="1"/>
  <c r="I107" i="1"/>
  <c r="T26" i="1"/>
  <c r="AA7" i="1" s="1"/>
  <c r="L36" i="1"/>
  <c r="M26" i="1"/>
  <c r="L26" i="1"/>
  <c r="M100" i="1"/>
  <c r="L100" i="1"/>
  <c r="M67" i="1"/>
  <c r="L67" i="1"/>
  <c r="T29" i="1"/>
  <c r="AD7" i="1" s="1"/>
  <c r="S29" i="1"/>
  <c r="AC7" i="1" s="1"/>
  <c r="L9" i="1"/>
  <c r="K120" i="1"/>
  <c r="J120" i="1"/>
  <c r="I120" i="1"/>
  <c r="I46" i="1"/>
  <c r="M13" i="1"/>
  <c r="L13" i="1"/>
  <c r="K89" i="1"/>
  <c r="L87" i="1" s="1"/>
  <c r="L59" i="1"/>
  <c r="M59" i="1"/>
  <c r="M39" i="1"/>
  <c r="L39" i="1"/>
  <c r="K48" i="1"/>
  <c r="M29" i="1"/>
  <c r="L29" i="1"/>
  <c r="K54" i="1"/>
  <c r="M53" i="1" s="1"/>
  <c r="K121" i="1"/>
  <c r="L90" i="1"/>
  <c r="M90" i="1"/>
  <c r="J53" i="1"/>
  <c r="M23" i="1"/>
  <c r="L23" i="1"/>
  <c r="M143" i="3"/>
  <c r="L143" i="3"/>
  <c r="L110" i="3"/>
  <c r="M110" i="3"/>
  <c r="M87" i="3"/>
  <c r="L87" i="3"/>
  <c r="L77" i="3"/>
  <c r="M77" i="3"/>
  <c r="AD79" i="3"/>
  <c r="AC79" i="3"/>
  <c r="L113" i="3"/>
  <c r="M113" i="3"/>
  <c r="M97" i="3"/>
  <c r="L97" i="3"/>
  <c r="AJ80" i="3"/>
  <c r="AI80" i="3"/>
  <c r="L93" i="3"/>
  <c r="M93" i="3"/>
  <c r="M100" i="3"/>
  <c r="L100" i="3"/>
  <c r="L133" i="3"/>
  <c r="M133" i="3"/>
  <c r="AG80" i="3"/>
  <c r="AF80" i="3"/>
  <c r="AD80" i="3"/>
  <c r="AC80" i="3"/>
  <c r="M83" i="3"/>
  <c r="L83" i="3"/>
  <c r="I43" i="3"/>
  <c r="K43" i="3"/>
  <c r="M43" i="3" s="1"/>
  <c r="K23" i="3"/>
  <c r="M23" i="3" s="1"/>
  <c r="L66" i="3"/>
  <c r="M66" i="3"/>
  <c r="AD7" i="3"/>
  <c r="AC7" i="3"/>
  <c r="M56" i="3"/>
  <c r="L56" i="3"/>
  <c r="M29" i="3"/>
  <c r="L29" i="3"/>
  <c r="M39" i="3"/>
  <c r="L39" i="3"/>
  <c r="M53" i="3"/>
  <c r="L53" i="3"/>
  <c r="AJ6" i="3"/>
  <c r="AI6" i="3"/>
  <c r="L6" i="3"/>
  <c r="M6" i="3"/>
  <c r="L19" i="3"/>
  <c r="M19" i="3"/>
  <c r="M16" i="3"/>
  <c r="L16" i="3"/>
  <c r="M3" i="3"/>
  <c r="L3" i="3"/>
  <c r="AJ7" i="3"/>
  <c r="AI7" i="3"/>
  <c r="L9" i="3"/>
  <c r="M9" i="3"/>
  <c r="L33" i="3" l="1"/>
  <c r="L107" i="3"/>
  <c r="L130" i="3"/>
  <c r="L36" i="3"/>
  <c r="M137" i="3"/>
  <c r="L13" i="3"/>
  <c r="L120" i="3"/>
  <c r="M63" i="3"/>
  <c r="L90" i="3"/>
  <c r="M123" i="1"/>
  <c r="L69" i="3"/>
  <c r="L49" i="3"/>
  <c r="L103" i="1"/>
  <c r="M123" i="3"/>
  <c r="M130" i="3"/>
  <c r="L140" i="3"/>
  <c r="L117" i="3"/>
  <c r="L43" i="3"/>
  <c r="M127" i="3"/>
  <c r="L103" i="3"/>
  <c r="M90" i="3"/>
  <c r="L59" i="3"/>
  <c r="L77" i="1"/>
  <c r="L46" i="1"/>
  <c r="L3" i="1"/>
  <c r="L16" i="1"/>
  <c r="L113" i="1"/>
  <c r="M3" i="1"/>
  <c r="M110" i="1"/>
  <c r="L117" i="1"/>
  <c r="L33" i="1"/>
  <c r="M77" i="1"/>
  <c r="M73" i="1"/>
  <c r="M80" i="1"/>
  <c r="M70" i="1"/>
  <c r="L6" i="1"/>
  <c r="L23" i="3"/>
  <c r="L53" i="1"/>
  <c r="T23" i="1"/>
  <c r="X7" i="1" s="1"/>
  <c r="S23" i="1"/>
  <c r="W7" i="1" s="1"/>
  <c r="M120" i="1"/>
  <c r="L120" i="1"/>
  <c r="T39" i="1"/>
  <c r="AD8" i="1" s="1"/>
  <c r="L107" i="1"/>
  <c r="M107" i="1"/>
  <c r="T36" i="1"/>
  <c r="AA8" i="1" s="1"/>
  <c r="S36" i="1"/>
  <c r="Z8" i="1" s="1"/>
  <c r="M46" i="1"/>
  <c r="S39" i="1"/>
  <c r="AC8" i="1" s="1"/>
  <c r="L49" i="1"/>
  <c r="M49" i="1"/>
  <c r="M87" i="1"/>
  <c r="AJ81" i="3"/>
  <c r="AI81" i="3"/>
  <c r="AD81" i="3"/>
  <c r="AC81" i="3"/>
  <c r="AF81" i="3"/>
  <c r="AG81" i="3"/>
  <c r="AJ8" i="3"/>
  <c r="AI8" i="3"/>
  <c r="AD8" i="3"/>
  <c r="AC8" i="3"/>
  <c r="AG7" i="3"/>
  <c r="AF7" i="3"/>
  <c r="AJ83" i="3" l="1"/>
  <c r="AJ82" i="3"/>
  <c r="T33" i="1"/>
  <c r="X8" i="1" s="1"/>
  <c r="S33" i="1"/>
  <c r="W8" i="1" s="1"/>
  <c r="S56" i="1"/>
  <c r="Z10" i="1" s="1"/>
  <c r="T56" i="1"/>
  <c r="AA10" i="1" s="1"/>
  <c r="T46" i="1"/>
  <c r="AA9" i="1" s="1"/>
  <c r="S46" i="1"/>
  <c r="Z9" i="1" s="1"/>
  <c r="S49" i="1"/>
  <c r="AC9" i="1" s="1"/>
  <c r="T49" i="1"/>
  <c r="AD9" i="1" s="1"/>
  <c r="S59" i="1"/>
  <c r="AC10" i="1" s="1"/>
  <c r="T59" i="1"/>
  <c r="AD10" i="1" s="1"/>
  <c r="AG82" i="3"/>
  <c r="AF82" i="3"/>
  <c r="AF83" i="3"/>
  <c r="AG83" i="3"/>
  <c r="AD83" i="3"/>
  <c r="AC83" i="3"/>
  <c r="AC82" i="3"/>
  <c r="AD82" i="3"/>
  <c r="AI82" i="3"/>
  <c r="AI83" i="3"/>
  <c r="AG8" i="3"/>
  <c r="AF8" i="3"/>
  <c r="AI9" i="3"/>
  <c r="AJ9" i="3"/>
  <c r="AD10" i="3"/>
  <c r="AC10" i="3"/>
  <c r="AJ10" i="3"/>
  <c r="AI10" i="3"/>
  <c r="AD9" i="3"/>
  <c r="AC9" i="3"/>
  <c r="T53" i="1" l="1"/>
  <c r="X10" i="1" s="1"/>
  <c r="S53" i="1"/>
  <c r="W10" i="1" s="1"/>
  <c r="T43" i="1"/>
  <c r="X9" i="1" s="1"/>
  <c r="S43" i="1"/>
  <c r="W9" i="1" s="1"/>
  <c r="AG9" i="3"/>
  <c r="AF9" i="3"/>
  <c r="AG10" i="3"/>
  <c r="AF10" i="3"/>
</calcChain>
</file>

<file path=xl/sharedStrings.xml><?xml version="1.0" encoding="utf-8"?>
<sst xmlns="http://schemas.openxmlformats.org/spreadsheetml/2006/main" count="1271" uniqueCount="107">
  <si>
    <t>Sample</t>
  </si>
  <si>
    <t>Tube (g)</t>
  </si>
  <si>
    <t>Tube +
 Water (g)</t>
  </si>
  <si>
    <t>Volume (L)</t>
  </si>
  <si>
    <t>Membrane
Area (m^2)</t>
  </si>
  <si>
    <t>Pressure (bar)</t>
  </si>
  <si>
    <t>Collection
Time (min)</t>
  </si>
  <si>
    <t>Flux
(LMH)</t>
  </si>
  <si>
    <t>Average Flux
(LMH)</t>
  </si>
  <si>
    <t>StdDev</t>
  </si>
  <si>
    <t>Pure DI</t>
  </si>
  <si>
    <t>5M</t>
  </si>
  <si>
    <t>5Y</t>
  </si>
  <si>
    <t>2M</t>
  </si>
  <si>
    <t>2Y</t>
  </si>
  <si>
    <t>1M</t>
  </si>
  <si>
    <t>1Y</t>
  </si>
  <si>
    <t>pH 3.5</t>
  </si>
  <si>
    <t>pH 7</t>
  </si>
  <si>
    <t>pH 5</t>
  </si>
  <si>
    <t>pH 9</t>
  </si>
  <si>
    <t>pH 10</t>
  </si>
  <si>
    <t>pH 10.5</t>
  </si>
  <si>
    <t>Flux
(LMH/bar)</t>
  </si>
  <si>
    <t>Average Flux
(LMH/bar)</t>
  </si>
  <si>
    <t>Initial (uS)</t>
  </si>
  <si>
    <t>Final (uS)</t>
  </si>
  <si>
    <t>Rejection (%)</t>
  </si>
  <si>
    <t>Average (%)</t>
  </si>
  <si>
    <t>5L</t>
  </si>
  <si>
    <t>2L</t>
  </si>
  <si>
    <t>1L</t>
  </si>
  <si>
    <t>5C</t>
  </si>
  <si>
    <t>2C</t>
  </si>
  <si>
    <t>1C</t>
  </si>
  <si>
    <t>Initial (IC)</t>
  </si>
  <si>
    <t>Final (IC)</t>
  </si>
  <si>
    <t>Solute Flux</t>
  </si>
  <si>
    <t>Solute flux</t>
  </si>
  <si>
    <t>pH</t>
  </si>
  <si>
    <t>Avg</t>
  </si>
  <si>
    <t>Initial Conc</t>
  </si>
  <si>
    <t>Final Conc</t>
  </si>
  <si>
    <t>2 mM</t>
  </si>
  <si>
    <t>20 mM</t>
  </si>
  <si>
    <t>10 mM</t>
  </si>
  <si>
    <t>NF270</t>
  </si>
  <si>
    <t>1L PIP</t>
  </si>
  <si>
    <t>2L PIP</t>
  </si>
  <si>
    <t>5L PIP</t>
  </si>
  <si>
    <t>sites/nm^3</t>
  </si>
  <si>
    <t>2 mM NaCl</t>
  </si>
  <si>
    <t>20 mM NaCl</t>
  </si>
  <si>
    <t xml:space="preserve"> rej (%)</t>
  </si>
  <si>
    <t>nm</t>
  </si>
  <si>
    <t>LMH*um/bar</t>
  </si>
  <si>
    <t>Average
LMH*um/bar</t>
  </si>
  <si>
    <t>Surface</t>
  </si>
  <si>
    <t>Rejection</t>
  </si>
  <si>
    <t>Average</t>
  </si>
  <si>
    <t>Neutral</t>
  </si>
  <si>
    <t>Total</t>
  </si>
  <si>
    <t>Decrease in Surface Rej</t>
  </si>
  <si>
    <t>Decrease in Total Rej</t>
  </si>
  <si>
    <t>Surface+Neutral</t>
  </si>
  <si>
    <t>Jw</t>
  </si>
  <si>
    <t>Js</t>
  </si>
  <si>
    <t>Jw/Js</t>
  </si>
  <si>
    <t>Normalized</t>
  </si>
  <si>
    <t>R err</t>
  </si>
  <si>
    <t>Js err</t>
  </si>
  <si>
    <t>Js (mol/m^2h)</t>
  </si>
  <si>
    <t>Avg Js</t>
  </si>
  <si>
    <t>Norm Js</t>
  </si>
  <si>
    <t>Norm Avg</t>
  </si>
  <si>
    <t>Norm Std Dev</t>
  </si>
  <si>
    <t>Surface Normalized Js</t>
  </si>
  <si>
    <t>This page was initial draft. Normalized values are improved next to the actual experimental rejection calculations</t>
  </si>
  <si>
    <t>Uncharged</t>
  </si>
  <si>
    <t>Norm Err</t>
  </si>
  <si>
    <t>Thickness</t>
  </si>
  <si>
    <t>PIP layers</t>
  </si>
  <si>
    <t>Fit Line</t>
  </si>
  <si>
    <t>Constant Guess:</t>
  </si>
  <si>
    <t>Sq-Error</t>
  </si>
  <si>
    <t>Sum:</t>
  </si>
  <si>
    <t>Thickness (um)</t>
  </si>
  <si>
    <t>Thickness (nm)</t>
  </si>
  <si>
    <t>Fit Guess</t>
  </si>
  <si>
    <t>Cp (M)</t>
  </si>
  <si>
    <t>R err (%)</t>
  </si>
  <si>
    <t>Cp err (M)</t>
  </si>
  <si>
    <t>ΔCb (M)</t>
  </si>
  <si>
    <t>ΔCm (M)</t>
  </si>
  <si>
    <t xml:space="preserve">B </t>
  </si>
  <si>
    <t>B err</t>
  </si>
  <si>
    <t>NF270 - 2 mM NaCl</t>
  </si>
  <si>
    <t>NF270 - 20 mM NaCl</t>
  </si>
  <si>
    <t>1L PIP - 2 mM NaCl</t>
  </si>
  <si>
    <t>1L PIP - 20 mM NaCl</t>
  </si>
  <si>
    <t>2L PIP - 20 mM NaCl</t>
  </si>
  <si>
    <t>2L PIP - 2 mM NaCl</t>
  </si>
  <si>
    <t>5L PIP - 2 mM NaCl</t>
  </si>
  <si>
    <t>5L PIP - 20 mM NaCl</t>
  </si>
  <si>
    <t>B/B0</t>
  </si>
  <si>
    <t>B^-1</t>
  </si>
  <si>
    <t>B0/B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</si>
</sst>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wrapText="1"/>
    </xf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164" fontId="0" fillId="3" borderId="0" xfId="0" applyNumberFormat="1" applyFill="1"/>
    <xf numFmtId="164" fontId="0" fillId="8" borderId="0" xfId="0" applyNumberFormat="1" applyFill="1"/>
    <xf numFmtId="164" fontId="0" fillId="7" borderId="0" xfId="0" applyNumberFormat="1" applyFill="1"/>
    <xf numFmtId="164" fontId="0" fillId="6" borderId="0" xfId="0" applyNumberFormat="1" applyFill="1"/>
    <xf numFmtId="164" fontId="0" fillId="5" borderId="0" xfId="0" applyNumberFormat="1" applyFill="1"/>
    <xf numFmtId="164" fontId="0" fillId="4" borderId="0" xfId="0" applyNumberFormat="1" applyFill="1"/>
    <xf numFmtId="11" fontId="0" fillId="0" borderId="0" xfId="0" applyNumberFormat="1" applyBorder="1"/>
    <xf numFmtId="0" fontId="0" fillId="0" borderId="0" xfId="0" applyFont="1" applyFill="1" applyBorder="1"/>
    <xf numFmtId="0" fontId="0" fillId="0" borderId="5" xfId="0" applyFont="1" applyFill="1" applyBorder="1"/>
    <xf numFmtId="2" fontId="0" fillId="0" borderId="5" xfId="0" applyNumberFormat="1" applyBorder="1"/>
    <xf numFmtId="2" fontId="0" fillId="0" borderId="7" xfId="0" applyNumberFormat="1" applyBorder="1"/>
    <xf numFmtId="11" fontId="0" fillId="0" borderId="7" xfId="0" applyNumberFormat="1" applyBorder="1"/>
    <xf numFmtId="2" fontId="0" fillId="0" borderId="8" xfId="0" applyNumberFormat="1" applyBorder="1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'PIP Layers Na2SO4'!$AA$5:$AA$10</c:f>
                <c:numCache>
                  <c:formatCode>General</c:formatCode>
                  <c:ptCount val="6"/>
                  <c:pt idx="0">
                    <c:v>9.1905264087614107</c:v>
                  </c:pt>
                  <c:pt idx="1">
                    <c:v>5.6175556078319593</c:v>
                  </c:pt>
                  <c:pt idx="2">
                    <c:v>3.131565812681798</c:v>
                  </c:pt>
                  <c:pt idx="3">
                    <c:v>3.4647611389308048</c:v>
                  </c:pt>
                  <c:pt idx="4">
                    <c:v>2.7384735748836153</c:v>
                  </c:pt>
                  <c:pt idx="5">
                    <c:v>2.7631417452475837</c:v>
                  </c:pt>
                </c:numCache>
              </c:numRef>
            </c:plus>
            <c:minus>
              <c:numRef>
                <c:f>'PIP Layers Na2SO4'!$AA$5:$AA$10</c:f>
                <c:numCache>
                  <c:formatCode>General</c:formatCode>
                  <c:ptCount val="6"/>
                  <c:pt idx="0">
                    <c:v>9.1905264087614107</c:v>
                  </c:pt>
                  <c:pt idx="1">
                    <c:v>5.6175556078319593</c:v>
                  </c:pt>
                  <c:pt idx="2">
                    <c:v>3.131565812681798</c:v>
                  </c:pt>
                  <c:pt idx="3">
                    <c:v>3.4647611389308048</c:v>
                  </c:pt>
                  <c:pt idx="4">
                    <c:v>2.7384735748836153</c:v>
                  </c:pt>
                  <c:pt idx="5">
                    <c:v>2.7631417452475837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'PIP Layers Na2SO4'!$Y$5:$Y$10</c:f>
              <c:numCache>
                <c:formatCode>General</c:formatCode>
                <c:ptCount val="6"/>
                <c:pt idx="0">
                  <c:v>3.46</c:v>
                </c:pt>
                <c:pt idx="1">
                  <c:v>5.01</c:v>
                </c:pt>
                <c:pt idx="2">
                  <c:v>6.86</c:v>
                </c:pt>
                <c:pt idx="3">
                  <c:v>8.5</c:v>
                </c:pt>
                <c:pt idx="4">
                  <c:v>9.9700000000000006</c:v>
                </c:pt>
                <c:pt idx="5">
                  <c:v>10.52</c:v>
                </c:pt>
              </c:numCache>
            </c:numRef>
          </c:xVal>
          <c:yVal>
            <c:numRef>
              <c:f>'PIP Layers Na2SO4'!$Z$5:$Z$10</c:f>
              <c:numCache>
                <c:formatCode>0.00</c:formatCode>
                <c:ptCount val="6"/>
                <c:pt idx="0">
                  <c:v>57.586491911677889</c:v>
                </c:pt>
                <c:pt idx="1">
                  <c:v>87.2609819121447</c:v>
                </c:pt>
                <c:pt idx="2">
                  <c:v>92.74415904803368</c:v>
                </c:pt>
                <c:pt idx="3">
                  <c:v>91.054678563257838</c:v>
                </c:pt>
                <c:pt idx="4">
                  <c:v>93.08405029781602</c:v>
                </c:pt>
                <c:pt idx="5">
                  <c:v>93.452571063557969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6-431A-8DFC-5040D6EBDBD4}"/>
            </c:ext>
          </c:extLst>
        </c:ser>
        <c:ser>
          <c:idx val="1"/>
          <c:order val="1"/>
          <c:tx>
            <c:v>1L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'PIP Layers Na2SO4'!$AD$5:$AD$10</c:f>
                <c:numCache>
                  <c:formatCode>General</c:formatCode>
                  <c:ptCount val="6"/>
                  <c:pt idx="0">
                    <c:v>5.1446416528569392</c:v>
                  </c:pt>
                  <c:pt idx="1">
                    <c:v>4.6180470658169002</c:v>
                  </c:pt>
                  <c:pt idx="2">
                    <c:v>4.307915296533646</c:v>
                  </c:pt>
                  <c:pt idx="3">
                    <c:v>3.2287709720790927</c:v>
                  </c:pt>
                  <c:pt idx="4">
                    <c:v>4.7133614616715143</c:v>
                  </c:pt>
                  <c:pt idx="5">
                    <c:v>4.8840397448508925</c:v>
                  </c:pt>
                </c:numCache>
              </c:numRef>
            </c:plus>
            <c:minus>
              <c:numRef>
                <c:f>'PIP Layers Na2SO4'!$AD$5:$AD$10</c:f>
                <c:numCache>
                  <c:formatCode>General</c:formatCode>
                  <c:ptCount val="6"/>
                  <c:pt idx="0">
                    <c:v>5.1446416528569392</c:v>
                  </c:pt>
                  <c:pt idx="1">
                    <c:v>4.6180470658169002</c:v>
                  </c:pt>
                  <c:pt idx="2">
                    <c:v>4.307915296533646</c:v>
                  </c:pt>
                  <c:pt idx="3">
                    <c:v>3.2287709720790927</c:v>
                  </c:pt>
                  <c:pt idx="4">
                    <c:v>4.7133614616715143</c:v>
                  </c:pt>
                  <c:pt idx="5">
                    <c:v>4.8840397448508925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'PIP Layers Na2SO4'!$AB$5:$AB$10</c:f>
              <c:numCache>
                <c:formatCode>General</c:formatCode>
                <c:ptCount val="6"/>
                <c:pt idx="0">
                  <c:v>3.51</c:v>
                </c:pt>
                <c:pt idx="1">
                  <c:v>4.8</c:v>
                </c:pt>
                <c:pt idx="2">
                  <c:v>6.55</c:v>
                </c:pt>
                <c:pt idx="3">
                  <c:v>8.6999999999999993</c:v>
                </c:pt>
                <c:pt idx="4">
                  <c:v>9.93</c:v>
                </c:pt>
                <c:pt idx="5">
                  <c:v>10.51</c:v>
                </c:pt>
              </c:numCache>
            </c:numRef>
          </c:xVal>
          <c:yVal>
            <c:numRef>
              <c:f>'PIP Layers Na2SO4'!$AC$5:$AC$10</c:f>
              <c:numCache>
                <c:formatCode>0.00</c:formatCode>
                <c:ptCount val="6"/>
                <c:pt idx="0">
                  <c:v>42.857142857142861</c:v>
                </c:pt>
                <c:pt idx="1">
                  <c:v>83.00087489063867</c:v>
                </c:pt>
                <c:pt idx="2">
                  <c:v>91.281233386496538</c:v>
                </c:pt>
                <c:pt idx="3">
                  <c:v>88.020154634697235</c:v>
                </c:pt>
                <c:pt idx="4">
                  <c:v>90.533056420906902</c:v>
                </c:pt>
                <c:pt idx="5">
                  <c:v>91.270045450647459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06-4676-BF2E-DE9303E5935E}"/>
            </c:ext>
          </c:extLst>
        </c:ser>
        <c:ser>
          <c:idx val="2"/>
          <c:order val="2"/>
          <c:tx>
            <c:v>5L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'PIP Layers Na2SO4'!$X$5:$X$10</c:f>
                <c:numCache>
                  <c:formatCode>General</c:formatCode>
                  <c:ptCount val="6"/>
                  <c:pt idx="0">
                    <c:v>6.4858862565378805</c:v>
                  </c:pt>
                  <c:pt idx="1">
                    <c:v>4.684590575690633</c:v>
                  </c:pt>
                  <c:pt idx="2">
                    <c:v>2.9291393648299895</c:v>
                  </c:pt>
                  <c:pt idx="3">
                    <c:v>2.2337853928182758</c:v>
                  </c:pt>
                  <c:pt idx="4">
                    <c:v>0.66671144310717811</c:v>
                  </c:pt>
                  <c:pt idx="5">
                    <c:v>1.4193133205313571</c:v>
                  </c:pt>
                </c:numCache>
              </c:numRef>
            </c:plus>
            <c:minus>
              <c:numRef>
                <c:f>'PIP Layers Na2SO4'!$X$5:$X$10</c:f>
                <c:numCache>
                  <c:formatCode>General</c:formatCode>
                  <c:ptCount val="6"/>
                  <c:pt idx="0">
                    <c:v>6.4858862565378805</c:v>
                  </c:pt>
                  <c:pt idx="1">
                    <c:v>4.684590575690633</c:v>
                  </c:pt>
                  <c:pt idx="2">
                    <c:v>2.9291393648299895</c:v>
                  </c:pt>
                  <c:pt idx="3">
                    <c:v>2.2337853928182758</c:v>
                  </c:pt>
                  <c:pt idx="4">
                    <c:v>0.66671144310717811</c:v>
                  </c:pt>
                  <c:pt idx="5">
                    <c:v>1.4193133205313571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'PIP Layers Na2SO4'!$V$5:$V$10</c:f>
              <c:numCache>
                <c:formatCode>General</c:formatCode>
                <c:ptCount val="6"/>
                <c:pt idx="0">
                  <c:v>3.47</c:v>
                </c:pt>
                <c:pt idx="1">
                  <c:v>5.15</c:v>
                </c:pt>
                <c:pt idx="2">
                  <c:v>6.5</c:v>
                </c:pt>
                <c:pt idx="3">
                  <c:v>8.9</c:v>
                </c:pt>
                <c:pt idx="4">
                  <c:v>10</c:v>
                </c:pt>
                <c:pt idx="5">
                  <c:v>10.5</c:v>
                </c:pt>
              </c:numCache>
            </c:numRef>
          </c:xVal>
          <c:yVal>
            <c:numRef>
              <c:f>'PIP Layers Na2SO4'!$W$5:$W$10</c:f>
              <c:numCache>
                <c:formatCode>0.00</c:formatCode>
                <c:ptCount val="6"/>
                <c:pt idx="0">
                  <c:v>77.584059775840601</c:v>
                </c:pt>
                <c:pt idx="1">
                  <c:v>88.187647654404316</c:v>
                </c:pt>
                <c:pt idx="2">
                  <c:v>91.516436903499468</c:v>
                </c:pt>
                <c:pt idx="3">
                  <c:v>92.05016235583922</c:v>
                </c:pt>
                <c:pt idx="4">
                  <c:v>94.051481721825652</c:v>
                </c:pt>
                <c:pt idx="5">
                  <c:v>94.380268498282859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9-408D-B280-018D069AC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830040"/>
        <c:axId val="931830368"/>
      </c:scatterChart>
      <c:valAx>
        <c:axId val="93183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30368"/>
        <c:crosses val="autoZero"/>
        <c:crossBetween val="midCat"/>
      </c:valAx>
      <c:valAx>
        <c:axId val="9318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3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PWP!$A$30:$A$32</c:f>
              <c:numCache>
                <c:formatCode>General</c:formatCode>
                <c:ptCount val="3"/>
                <c:pt idx="0">
                  <c:v>25.5</c:v>
                </c:pt>
                <c:pt idx="1">
                  <c:v>56.4</c:v>
                </c:pt>
                <c:pt idx="2">
                  <c:v>111.5</c:v>
                </c:pt>
              </c:numCache>
            </c:numRef>
          </c:xVal>
          <c:yVal>
            <c:numRef>
              <c:f>PWP!$C$30:$C$32</c:f>
              <c:numCache>
                <c:formatCode>General</c:formatCode>
                <c:ptCount val="3"/>
                <c:pt idx="0">
                  <c:v>4.4771599999999996</c:v>
                </c:pt>
                <c:pt idx="1">
                  <c:v>1.9531099999999999</c:v>
                </c:pt>
                <c:pt idx="2">
                  <c:v>1.0558399999999999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E-4AA0-96C8-86F683FC2198}"/>
            </c:ext>
          </c:extLst>
        </c:ser>
        <c:ser>
          <c:idx val="1"/>
          <c:order val="1"/>
          <c:tx>
            <c:v>Fit Line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PWP!$I$30:$I$145</c:f>
              <c:numCache>
                <c:formatCode>General</c:formatCode>
                <c:ptCount val="1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</c:numCache>
            </c:numRef>
          </c:xVal>
          <c:yVal>
            <c:numRef>
              <c:f>PWP!$J$30:$J$145</c:f>
              <c:numCache>
                <c:formatCode>General</c:formatCode>
                <c:ptCount val="116"/>
                <c:pt idx="0">
                  <c:v>11.366306102038964</c:v>
                </c:pt>
                <c:pt idx="1">
                  <c:v>10.333005547308149</c:v>
                </c:pt>
                <c:pt idx="2">
                  <c:v>9.4719217516991367</c:v>
                </c:pt>
                <c:pt idx="3">
                  <c:v>8.7433123861838187</c:v>
                </c:pt>
                <c:pt idx="4">
                  <c:v>8.1187900728849733</c:v>
                </c:pt>
                <c:pt idx="5">
                  <c:v>7.5775374013593089</c:v>
                </c:pt>
                <c:pt idx="6">
                  <c:v>7.1039413137743521</c:v>
                </c:pt>
                <c:pt idx="7">
                  <c:v>6.6860624129640964</c:v>
                </c:pt>
                <c:pt idx="8">
                  <c:v>6.3146145011327572</c:v>
                </c:pt>
                <c:pt idx="9">
                  <c:v>5.9822663694941909</c:v>
                </c:pt>
                <c:pt idx="10">
                  <c:v>5.6831530510194819</c:v>
                </c:pt>
                <c:pt idx="11">
                  <c:v>5.4125267152566492</c:v>
                </c:pt>
                <c:pt idx="12">
                  <c:v>5.1665027736540745</c:v>
                </c:pt>
                <c:pt idx="13">
                  <c:v>4.9418722182778101</c:v>
                </c:pt>
                <c:pt idx="14">
                  <c:v>4.7359608758495684</c:v>
                </c:pt>
                <c:pt idx="15">
                  <c:v>4.5465224408155853</c:v>
                </c:pt>
                <c:pt idx="16">
                  <c:v>4.3716561930919093</c:v>
                </c:pt>
                <c:pt idx="17">
                  <c:v>4.2097430007551715</c:v>
                </c:pt>
                <c:pt idx="18">
                  <c:v>4.0593950364424867</c:v>
                </c:pt>
                <c:pt idx="19">
                  <c:v>3.9194158972548148</c:v>
                </c:pt>
                <c:pt idx="20">
                  <c:v>3.7887687006796544</c:v>
                </c:pt>
                <c:pt idx="21">
                  <c:v>3.6665503554964398</c:v>
                </c:pt>
                <c:pt idx="22">
                  <c:v>3.5519706568871761</c:v>
                </c:pt>
                <c:pt idx="23">
                  <c:v>3.4443351824360495</c:v>
                </c:pt>
                <c:pt idx="24">
                  <c:v>3.3430312064820482</c:v>
                </c:pt>
                <c:pt idx="25">
                  <c:v>3.2475160291539895</c:v>
                </c:pt>
                <c:pt idx="26">
                  <c:v>3.1573072505663786</c:v>
                </c:pt>
                <c:pt idx="27">
                  <c:v>3.0719746221726929</c:v>
                </c:pt>
                <c:pt idx="28">
                  <c:v>2.9911331847470954</c:v>
                </c:pt>
                <c:pt idx="29">
                  <c:v>2.9144374620612727</c:v>
                </c:pt>
                <c:pt idx="30">
                  <c:v>2.8415765255097409</c:v>
                </c:pt>
                <c:pt idx="31">
                  <c:v>2.7722697809851131</c:v>
                </c:pt>
                <c:pt idx="32">
                  <c:v>2.7062633576283246</c:v>
                </c:pt>
                <c:pt idx="33">
                  <c:v>2.6433270004741773</c:v>
                </c:pt>
                <c:pt idx="34">
                  <c:v>2.5832513868270373</c:v>
                </c:pt>
                <c:pt idx="35">
                  <c:v>2.5258458004531028</c:v>
                </c:pt>
                <c:pt idx="36">
                  <c:v>2.470936109138905</c:v>
                </c:pt>
                <c:pt idx="37">
                  <c:v>2.4183630004338221</c:v>
                </c:pt>
                <c:pt idx="38">
                  <c:v>2.3679804379247842</c:v>
                </c:pt>
                <c:pt idx="39">
                  <c:v>2.3196543065385637</c:v>
                </c:pt>
                <c:pt idx="40">
                  <c:v>2.2732612204077927</c:v>
                </c:pt>
                <c:pt idx="41">
                  <c:v>2.228687470988032</c:v>
                </c:pt>
                <c:pt idx="42">
                  <c:v>2.1858280965459547</c:v>
                </c:pt>
                <c:pt idx="43">
                  <c:v>2.1445860569884836</c:v>
                </c:pt>
                <c:pt idx="44">
                  <c:v>2.1048715003775857</c:v>
                </c:pt>
                <c:pt idx="45">
                  <c:v>2.0666011094616299</c:v>
                </c:pt>
                <c:pt idx="46">
                  <c:v>2.0296975182212433</c:v>
                </c:pt>
                <c:pt idx="47">
                  <c:v>1.994088789831397</c:v>
                </c:pt>
                <c:pt idx="48">
                  <c:v>1.9597079486274074</c:v>
                </c:pt>
                <c:pt idx="49">
                  <c:v>1.926492559667621</c:v>
                </c:pt>
                <c:pt idx="50">
                  <c:v>1.8943843503398272</c:v>
                </c:pt>
                <c:pt idx="51">
                  <c:v>1.8633288691867154</c:v>
                </c:pt>
                <c:pt idx="52">
                  <c:v>1.8332751777482199</c:v>
                </c:pt>
                <c:pt idx="53">
                  <c:v>1.8041755717522163</c:v>
                </c:pt>
                <c:pt idx="54">
                  <c:v>1.775985328443588</c:v>
                </c:pt>
                <c:pt idx="55">
                  <c:v>1.7486624772367636</c:v>
                </c:pt>
                <c:pt idx="56">
                  <c:v>1.7221675912180248</c:v>
                </c:pt>
                <c:pt idx="57">
                  <c:v>1.6964635973192483</c:v>
                </c:pt>
                <c:pt idx="58">
                  <c:v>1.6715156032410241</c:v>
                </c:pt>
                <c:pt idx="59">
                  <c:v>1.6472907394259366</c:v>
                </c:pt>
                <c:pt idx="60">
                  <c:v>1.6237580145769948</c:v>
                </c:pt>
                <c:pt idx="61">
                  <c:v>1.6008881833857695</c:v>
                </c:pt>
                <c:pt idx="62">
                  <c:v>1.5786536252831893</c:v>
                </c:pt>
                <c:pt idx="63">
                  <c:v>1.5570282331560223</c:v>
                </c:pt>
                <c:pt idx="64">
                  <c:v>1.5359873110863465</c:v>
                </c:pt>
                <c:pt idx="65">
                  <c:v>1.5155074802718618</c:v>
                </c:pt>
                <c:pt idx="66">
                  <c:v>1.4955665923735477</c:v>
                </c:pt>
                <c:pt idx="67">
                  <c:v>1.4761436496154499</c:v>
                </c:pt>
                <c:pt idx="68">
                  <c:v>1.4572187310306364</c:v>
                </c:pt>
                <c:pt idx="69">
                  <c:v>1.4387729243087295</c:v>
                </c:pt>
                <c:pt idx="70">
                  <c:v>1.4207882627548705</c:v>
                </c:pt>
                <c:pt idx="71">
                  <c:v>1.4032476669183906</c:v>
                </c:pt>
                <c:pt idx="72">
                  <c:v>1.3861348904925566</c:v>
                </c:pt>
                <c:pt idx="73">
                  <c:v>1.3694344701251764</c:v>
                </c:pt>
                <c:pt idx="74">
                  <c:v>1.3531316788141623</c:v>
                </c:pt>
                <c:pt idx="75">
                  <c:v>1.3372124825928193</c:v>
                </c:pt>
                <c:pt idx="76">
                  <c:v>1.3216635002370887</c:v>
                </c:pt>
                <c:pt idx="77">
                  <c:v>1.3064719657516051</c:v>
                </c:pt>
                <c:pt idx="78">
                  <c:v>1.2916256934135186</c:v>
                </c:pt>
                <c:pt idx="79">
                  <c:v>1.2771130451729171</c:v>
                </c:pt>
                <c:pt idx="80">
                  <c:v>1.2629229002265514</c:v>
                </c:pt>
                <c:pt idx="81">
                  <c:v>1.2490446265976882</c:v>
                </c:pt>
                <c:pt idx="82">
                  <c:v>1.2354680545694525</c:v>
                </c:pt>
                <c:pt idx="83">
                  <c:v>1.2221834518321466</c:v>
                </c:pt>
                <c:pt idx="84">
                  <c:v>1.2091815002169111</c:v>
                </c:pt>
                <c:pt idx="85">
                  <c:v>1.1964532738988383</c:v>
                </c:pt>
                <c:pt idx="86">
                  <c:v>1.1839902189623921</c:v>
                </c:pt>
                <c:pt idx="87">
                  <c:v>1.1717841342308211</c:v>
                </c:pt>
                <c:pt idx="88">
                  <c:v>1.1598271532692819</c:v>
                </c:pt>
                <c:pt idx="89">
                  <c:v>1.1481117274786832</c:v>
                </c:pt>
                <c:pt idx="90">
                  <c:v>1.1366306102038963</c:v>
                </c:pt>
                <c:pt idx="91">
                  <c:v>1.1253768417860359</c:v>
                </c:pt>
                <c:pt idx="92">
                  <c:v>1.114343735494016</c:v>
                </c:pt>
                <c:pt idx="93">
                  <c:v>1.1035248642756275</c:v>
                </c:pt>
                <c:pt idx="94">
                  <c:v>1.0929140482729773</c:v>
                </c:pt>
                <c:pt idx="95">
                  <c:v>1.0825053430513298</c:v>
                </c:pt>
                <c:pt idx="96">
                  <c:v>1.0722930284942418</c:v>
                </c:pt>
                <c:pt idx="97">
                  <c:v>1.0622715983213984</c:v>
                </c:pt>
                <c:pt idx="98">
                  <c:v>1.0524357501887929</c:v>
                </c:pt>
                <c:pt idx="99">
                  <c:v>1.0427803763338499</c:v>
                </c:pt>
                <c:pt idx="100">
                  <c:v>1.0333005547308149</c:v>
                </c:pt>
                <c:pt idx="101">
                  <c:v>1.023991540724231</c:v>
                </c:pt>
                <c:pt idx="102">
                  <c:v>1.0148487591106217</c:v>
                </c:pt>
                <c:pt idx="103">
                  <c:v>1.0058677966406162</c:v>
                </c:pt>
                <c:pt idx="104">
                  <c:v>0.99704439491569852</c:v>
                </c:pt>
                <c:pt idx="105">
                  <c:v>0.98837444365556204</c:v>
                </c:pt>
                <c:pt idx="106">
                  <c:v>0.97985397431370369</c:v>
                </c:pt>
                <c:pt idx="107">
                  <c:v>0.97147915402042417</c:v>
                </c:pt>
                <c:pt idx="108">
                  <c:v>0.9632462798338105</c:v>
                </c:pt>
                <c:pt idx="109">
                  <c:v>0.9551517732805852</c:v>
                </c:pt>
                <c:pt idx="110">
                  <c:v>0.94719217516991361</c:v>
                </c:pt>
                <c:pt idx="111">
                  <c:v>0.93936414066437712</c:v>
                </c:pt>
                <c:pt idx="112">
                  <c:v>0.93166443459335768</c:v>
                </c:pt>
                <c:pt idx="113">
                  <c:v>0.92408992699503767</c:v>
                </c:pt>
                <c:pt idx="114">
                  <c:v>0.91663758887410995</c:v>
                </c:pt>
                <c:pt idx="115">
                  <c:v>0.90930448816311704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AE-4AA0-96C8-86F683FC2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289752"/>
        <c:axId val="836297624"/>
      </c:scatterChart>
      <c:valAx>
        <c:axId val="83628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97624"/>
        <c:crosses val="autoZero"/>
        <c:crossBetween val="midCat"/>
      </c:valAx>
      <c:valAx>
        <c:axId val="8362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8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'NF270 Na2SO4'!$U$4:$U$9</c:f>
              <c:numCache>
                <c:formatCode>General</c:formatCode>
                <c:ptCount val="6"/>
                <c:pt idx="0">
                  <c:v>3.53</c:v>
                </c:pt>
                <c:pt idx="1">
                  <c:v>5.18</c:v>
                </c:pt>
                <c:pt idx="2">
                  <c:v>6.87</c:v>
                </c:pt>
                <c:pt idx="3">
                  <c:v>8.8000000000000007</c:v>
                </c:pt>
                <c:pt idx="4">
                  <c:v>9.9700000000000006</c:v>
                </c:pt>
                <c:pt idx="5">
                  <c:v>10.47</c:v>
                </c:pt>
              </c:numCache>
            </c:numRef>
          </c:xVal>
          <c:yVal>
            <c:numRef>
              <c:f>'NF270 Na2SO4'!$V$4:$V$9</c:f>
              <c:numCache>
                <c:formatCode>0.00</c:formatCode>
                <c:ptCount val="6"/>
                <c:pt idx="0">
                  <c:v>78.93462469733656</c:v>
                </c:pt>
                <c:pt idx="1">
                  <c:v>99.028400597907336</c:v>
                </c:pt>
                <c:pt idx="2">
                  <c:v>99.292929292929301</c:v>
                </c:pt>
                <c:pt idx="3">
                  <c:v>92.860696517412933</c:v>
                </c:pt>
                <c:pt idx="4">
                  <c:v>98.685503685503676</c:v>
                </c:pt>
                <c:pt idx="5">
                  <c:v>99.34782608695653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59-4F53-95B6-BFFF4E5F73D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'NF270 Na2SO4'!$X$4:$X$9</c:f>
              <c:numCache>
                <c:formatCode>General</c:formatCode>
                <c:ptCount val="6"/>
                <c:pt idx="0">
                  <c:v>3.54</c:v>
                </c:pt>
                <c:pt idx="1">
                  <c:v>5.16</c:v>
                </c:pt>
                <c:pt idx="2">
                  <c:v>6.94</c:v>
                </c:pt>
                <c:pt idx="3">
                  <c:v>9</c:v>
                </c:pt>
                <c:pt idx="4">
                  <c:v>9.8800000000000008</c:v>
                </c:pt>
                <c:pt idx="5">
                  <c:v>10.43</c:v>
                </c:pt>
              </c:numCache>
            </c:numRef>
          </c:xVal>
          <c:yVal>
            <c:numRef>
              <c:f>'NF270 Na2SO4'!$Y$4:$Y$9</c:f>
              <c:numCache>
                <c:formatCode>0.00</c:formatCode>
                <c:ptCount val="6"/>
                <c:pt idx="0">
                  <c:v>84.823113207547166</c:v>
                </c:pt>
                <c:pt idx="1">
                  <c:v>98.019093078758942</c:v>
                </c:pt>
                <c:pt idx="2">
                  <c:v>98.705035971223026</c:v>
                </c:pt>
                <c:pt idx="3">
                  <c:v>98.825665859564168</c:v>
                </c:pt>
                <c:pt idx="4">
                  <c:v>99.178921568627459</c:v>
                </c:pt>
                <c:pt idx="5">
                  <c:v>98.982630272952861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59-4F53-95B6-BFFF4E5F7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20440"/>
        <c:axId val="718023064"/>
      </c:scatterChart>
      <c:valAx>
        <c:axId val="71802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23064"/>
        <c:crosses val="autoZero"/>
        <c:crossBetween val="midCat"/>
      </c:valAx>
      <c:valAx>
        <c:axId val="71802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2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NF270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3106364829396325"/>
                  <c:y val="-9.3009259259259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CarbvRej!$C$6:$C$10</c:f>
              <c:numCache>
                <c:formatCode>General</c:formatCode>
                <c:ptCount val="5"/>
                <c:pt idx="0">
                  <c:v>9.7834832093407015E-2</c:v>
                </c:pt>
                <c:pt idx="1">
                  <c:v>0.1396693649916986</c:v>
                </c:pt>
                <c:pt idx="2">
                  <c:v>0.2024758653605955</c:v>
                </c:pt>
                <c:pt idx="3">
                  <c:v>0.39571839836907546</c:v>
                </c:pt>
                <c:pt idx="4">
                  <c:v>0.33836326208724188</c:v>
                </c:pt>
              </c:numCache>
            </c:numRef>
          </c:xVal>
          <c:yVal>
            <c:numRef>
              <c:f>CarbvRej!$D$6:$D$10</c:f>
              <c:numCache>
                <c:formatCode>0.00</c:formatCode>
                <c:ptCount val="5"/>
                <c:pt idx="0">
                  <c:v>15.87982832618026</c:v>
                </c:pt>
                <c:pt idx="1">
                  <c:v>38.49372384937238</c:v>
                </c:pt>
                <c:pt idx="2">
                  <c:v>45.614035087719301</c:v>
                </c:pt>
                <c:pt idx="3">
                  <c:v>84.449339207048467</c:v>
                </c:pt>
                <c:pt idx="4">
                  <c:v>88.864628820960689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E3-4898-976C-6153A1B38448}"/>
            </c:ext>
          </c:extLst>
        </c:ser>
        <c:ser>
          <c:idx val="1"/>
          <c:order val="1"/>
          <c:tx>
            <c:v>1L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5566272965879266"/>
                  <c:y val="-5.36657917760279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CarbvRej!$E$6:$E$10</c:f>
              <c:numCache>
                <c:formatCode>General</c:formatCode>
                <c:ptCount val="5"/>
                <c:pt idx="0">
                  <c:v>6.7953329212019726E-3</c:v>
                </c:pt>
                <c:pt idx="1">
                  <c:v>3.6063274986705036E-2</c:v>
                </c:pt>
                <c:pt idx="2">
                  <c:v>0.10866993000346091</c:v>
                </c:pt>
                <c:pt idx="3">
                  <c:v>0.29570777554382721</c:v>
                </c:pt>
                <c:pt idx="4">
                  <c:v>0.27838706282619829</c:v>
                </c:pt>
              </c:numCache>
            </c:numRef>
          </c:xVal>
          <c:yVal>
            <c:numRef>
              <c:f>CarbvRej!$F$6:$F$10</c:f>
              <c:numCache>
                <c:formatCode>0.00</c:formatCode>
                <c:ptCount val="5"/>
                <c:pt idx="0">
                  <c:v>17.503217503217499</c:v>
                </c:pt>
                <c:pt idx="1">
                  <c:v>36.609336609336616</c:v>
                </c:pt>
                <c:pt idx="2">
                  <c:v>54.888221554888219</c:v>
                </c:pt>
                <c:pt idx="3">
                  <c:v>72.13709013016971</c:v>
                </c:pt>
                <c:pt idx="4">
                  <c:v>75.512195121951223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E3-4898-976C-6153A1B38448}"/>
            </c:ext>
          </c:extLst>
        </c:ser>
        <c:ser>
          <c:idx val="2"/>
          <c:order val="2"/>
          <c:tx>
            <c:v>2L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1525656167979002"/>
                  <c:y val="-0.11131525226013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CarbvRej!$G$6:$G$10</c:f>
              <c:numCache>
                <c:formatCode>General</c:formatCode>
                <c:ptCount val="5"/>
                <c:pt idx="0">
                  <c:v>4.3411953198249859E-3</c:v>
                </c:pt>
                <c:pt idx="1">
                  <c:v>5.1994354694257011E-3</c:v>
                </c:pt>
                <c:pt idx="2">
                  <c:v>8.0116301343795077E-2</c:v>
                </c:pt>
                <c:pt idx="3">
                  <c:v>0.19917837413646147</c:v>
                </c:pt>
                <c:pt idx="4">
                  <c:v>0.25993844375673747</c:v>
                </c:pt>
              </c:numCache>
            </c:numRef>
          </c:xVal>
          <c:yVal>
            <c:numRef>
              <c:f>CarbvRej!$H$6:$H$10</c:f>
              <c:numCache>
                <c:formatCode>0.00</c:formatCode>
                <c:ptCount val="5"/>
                <c:pt idx="0">
                  <c:v>26.796998420221161</c:v>
                </c:pt>
                <c:pt idx="1">
                  <c:v>48.951333740582378</c:v>
                </c:pt>
                <c:pt idx="2">
                  <c:v>65.731912507010648</c:v>
                </c:pt>
                <c:pt idx="3">
                  <c:v>77.973568281938327</c:v>
                </c:pt>
                <c:pt idx="4">
                  <c:v>81.960784313725483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E3-4898-976C-6153A1B38448}"/>
            </c:ext>
          </c:extLst>
        </c:ser>
        <c:ser>
          <c:idx val="3"/>
          <c:order val="3"/>
          <c:tx>
            <c:v>5L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9125546806649168E-2"/>
                  <c:y val="-5.90131962671332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CarbvRej!$I$6:$I$10</c:f>
              <c:numCache>
                <c:formatCode>General</c:formatCode>
                <c:ptCount val="5"/>
                <c:pt idx="0">
                  <c:v>4.5013946675283292E-3</c:v>
                </c:pt>
                <c:pt idx="1">
                  <c:v>7.0386976542811883E-3</c:v>
                </c:pt>
                <c:pt idx="2">
                  <c:v>6.5350303670437038E-2</c:v>
                </c:pt>
                <c:pt idx="3">
                  <c:v>0.14272961518837018</c:v>
                </c:pt>
                <c:pt idx="4">
                  <c:v>0.21666544408142444</c:v>
                </c:pt>
              </c:numCache>
            </c:numRef>
          </c:xVal>
          <c:yVal>
            <c:numRef>
              <c:f>CarbvRej!$J$6:$J$10</c:f>
              <c:numCache>
                <c:formatCode>0.00</c:formatCode>
                <c:ptCount val="5"/>
                <c:pt idx="0">
                  <c:v>47.255880256593009</c:v>
                </c:pt>
                <c:pt idx="1">
                  <c:v>60.545872179435207</c:v>
                </c:pt>
                <c:pt idx="2">
                  <c:v>68.501895072810697</c:v>
                </c:pt>
                <c:pt idx="3">
                  <c:v>81.208309510196287</c:v>
                </c:pt>
                <c:pt idx="4">
                  <c:v>85.061254342658614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E3-4898-976C-6153A1B38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506152"/>
        <c:axId val="749498280"/>
      </c:scatterChart>
      <c:valAx>
        <c:axId val="74950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98280"/>
        <c:crosses val="autoZero"/>
        <c:crossBetween val="midCat"/>
      </c:valAx>
      <c:valAx>
        <c:axId val="7494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06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8896981627296595E-2"/>
                  <c:y val="-4.11377223680373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CarbvRej!$C$16:$C$20</c:f>
              <c:numCache>
                <c:formatCode>General</c:formatCode>
                <c:ptCount val="5"/>
                <c:pt idx="0">
                  <c:v>9.7834832093407015E-2</c:v>
                </c:pt>
                <c:pt idx="1">
                  <c:v>0.1396693649916986</c:v>
                </c:pt>
                <c:pt idx="2">
                  <c:v>0.2024758653605955</c:v>
                </c:pt>
                <c:pt idx="3">
                  <c:v>0.39571839836907546</c:v>
                </c:pt>
                <c:pt idx="4">
                  <c:v>0.33836326208724188</c:v>
                </c:pt>
              </c:numCache>
            </c:numRef>
          </c:xVal>
          <c:yVal>
            <c:numRef>
              <c:f>CarbvRej!$D$16:$D$20</c:f>
              <c:numCache>
                <c:formatCode>0.00</c:formatCode>
                <c:ptCount val="5"/>
                <c:pt idx="0">
                  <c:v>12.499999999999993</c:v>
                </c:pt>
                <c:pt idx="1">
                  <c:v>17.065868263473053</c:v>
                </c:pt>
                <c:pt idx="2">
                  <c:v>29.26136363636364</c:v>
                </c:pt>
                <c:pt idx="3">
                  <c:v>62.154696132596683</c:v>
                </c:pt>
                <c:pt idx="4">
                  <c:v>63.783783783783782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78-4D92-9964-0B8280F2C60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3066272965879266"/>
                  <c:y val="-8.87339603382910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CarbvRej!$E$16:$E$20</c:f>
              <c:numCache>
                <c:formatCode>General</c:formatCode>
                <c:ptCount val="5"/>
                <c:pt idx="0">
                  <c:v>6.7953329212019726E-3</c:v>
                </c:pt>
                <c:pt idx="1">
                  <c:v>3.6063274986705036E-2</c:v>
                </c:pt>
                <c:pt idx="2">
                  <c:v>0.10866993000346091</c:v>
                </c:pt>
                <c:pt idx="3">
                  <c:v>0.29570777554382721</c:v>
                </c:pt>
                <c:pt idx="4">
                  <c:v>0.27838706282619829</c:v>
                </c:pt>
              </c:numCache>
            </c:numRef>
          </c:xVal>
          <c:yVal>
            <c:numRef>
              <c:f>CarbvRej!$F$16:$F$20</c:f>
              <c:numCache>
                <c:formatCode>0.00</c:formatCode>
                <c:ptCount val="5"/>
                <c:pt idx="0">
                  <c:v>7.8270388615216184</c:v>
                </c:pt>
                <c:pt idx="1">
                  <c:v>19.114219114219114</c:v>
                </c:pt>
                <c:pt idx="2">
                  <c:v>38.238238238238239</c:v>
                </c:pt>
                <c:pt idx="3">
                  <c:v>45.243282498184463</c:v>
                </c:pt>
                <c:pt idx="4">
                  <c:v>47.727272727272727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78-4D92-9964-0B8280F2C60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7010061242344715E-3"/>
                  <c:y val="-6.12135462233887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CarbvRej!$G$16:$G$20</c:f>
              <c:numCache>
                <c:formatCode>General</c:formatCode>
                <c:ptCount val="5"/>
                <c:pt idx="0">
                  <c:v>4.3411953198249859E-3</c:v>
                </c:pt>
                <c:pt idx="1">
                  <c:v>5.1994354694257011E-3</c:v>
                </c:pt>
                <c:pt idx="2">
                  <c:v>8.0116301343795077E-2</c:v>
                </c:pt>
                <c:pt idx="3">
                  <c:v>0.19917837413646147</c:v>
                </c:pt>
                <c:pt idx="4">
                  <c:v>0.25993844375673747</c:v>
                </c:pt>
              </c:numCache>
            </c:numRef>
          </c:xVal>
          <c:yVal>
            <c:numRef>
              <c:f>CarbvRej!$H$16:$H$20</c:f>
              <c:numCache>
                <c:formatCode>0.00</c:formatCode>
                <c:ptCount val="5"/>
                <c:pt idx="0">
                  <c:v>14.126330243734985</c:v>
                </c:pt>
                <c:pt idx="1">
                  <c:v>19.317394317394314</c:v>
                </c:pt>
                <c:pt idx="2">
                  <c:v>39.690003483106928</c:v>
                </c:pt>
                <c:pt idx="3">
                  <c:v>48.951670220326946</c:v>
                </c:pt>
                <c:pt idx="4">
                  <c:v>57.727108215707567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78-4D92-9964-0B8280F2C60F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6430008748906338E-2"/>
                  <c:y val="-7.92752989209682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CarbvRej!$I$16:$I$20</c:f>
              <c:numCache>
                <c:formatCode>General</c:formatCode>
                <c:ptCount val="5"/>
                <c:pt idx="0">
                  <c:v>4.5013946675283292E-3</c:v>
                </c:pt>
                <c:pt idx="1">
                  <c:v>7.0386976542811883E-3</c:v>
                </c:pt>
                <c:pt idx="2">
                  <c:v>6.5350303670437038E-2</c:v>
                </c:pt>
                <c:pt idx="3">
                  <c:v>0.14272961518837018</c:v>
                </c:pt>
                <c:pt idx="4">
                  <c:v>0.21666544408142444</c:v>
                </c:pt>
              </c:numCache>
            </c:numRef>
          </c:xVal>
          <c:yVal>
            <c:numRef>
              <c:f>CarbvRej!$J$16:$J$20</c:f>
              <c:numCache>
                <c:formatCode>0.00</c:formatCode>
                <c:ptCount val="5"/>
                <c:pt idx="0">
                  <c:v>40.041493775933617</c:v>
                </c:pt>
                <c:pt idx="1">
                  <c:v>41.817554750819099</c:v>
                </c:pt>
                <c:pt idx="2">
                  <c:v>55.927260250471782</c:v>
                </c:pt>
                <c:pt idx="3">
                  <c:v>70.88900766078747</c:v>
                </c:pt>
                <c:pt idx="4">
                  <c:v>77.516839614054263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78-4D92-9964-0B8280F2C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506152"/>
        <c:axId val="749498280"/>
      </c:scatterChart>
      <c:valAx>
        <c:axId val="74950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98280"/>
        <c:crosses val="autoZero"/>
        <c:crossBetween val="midCat"/>
      </c:valAx>
      <c:valAx>
        <c:axId val="7494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06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CarbvRej!$U$5</c:f>
              <c:strCache>
                <c:ptCount val="1"/>
                <c:pt idx="0">
                  <c:v>pH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CarbvRej!$T$6:$T$9</c:f>
              <c:strCache>
                <c:ptCount val="4"/>
                <c:pt idx="0">
                  <c:v>NF270</c:v>
                </c:pt>
                <c:pt idx="1">
                  <c:v>1L</c:v>
                </c:pt>
                <c:pt idx="2">
                  <c:v>2L</c:v>
                </c:pt>
                <c:pt idx="3">
                  <c:v>5L</c:v>
                </c:pt>
              </c:strCache>
            </c:strRef>
          </c:cat>
          <c:val>
            <c:numRef>
              <c:f>CarbvRej!$U$6:$U$9</c:f>
              <c:numCache>
                <c:formatCode>0.00</c:formatCode>
                <c:ptCount val="4"/>
                <c:pt idx="0">
                  <c:v>15.87982832618026</c:v>
                </c:pt>
                <c:pt idx="1">
                  <c:v>17.503217503217499</c:v>
                </c:pt>
                <c:pt idx="2">
                  <c:v>26.796998420221161</c:v>
                </c:pt>
                <c:pt idx="3">
                  <c:v>47.255880256593009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8-44AB-9F5B-7165A26908C7}"/>
            </c:ext>
          </c:extLst>
        </c:ser>
        <c:ser>
          <c:idx val="1"/>
          <c:order val="1"/>
          <c:tx>
            <c:strRef>
              <c:f>CarbvRej!$V$5</c:f>
              <c:strCache>
                <c:ptCount val="1"/>
                <c:pt idx="0">
                  <c:v>pH 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CarbvRej!$T$6:$T$9</c:f>
              <c:strCache>
                <c:ptCount val="4"/>
                <c:pt idx="0">
                  <c:v>NF270</c:v>
                </c:pt>
                <c:pt idx="1">
                  <c:v>1L</c:v>
                </c:pt>
                <c:pt idx="2">
                  <c:v>2L</c:v>
                </c:pt>
                <c:pt idx="3">
                  <c:v>5L</c:v>
                </c:pt>
              </c:strCache>
            </c:strRef>
          </c:cat>
          <c:val>
            <c:numRef>
              <c:f>CarbvRej!$V$6:$V$9</c:f>
              <c:numCache>
                <c:formatCode>General</c:formatCode>
                <c:ptCount val="4"/>
                <c:pt idx="0">
                  <c:v>22.62017167381974</c:v>
                </c:pt>
                <c:pt idx="1">
                  <c:v>19.096782496782502</c:v>
                </c:pt>
                <c:pt idx="2">
                  <c:v>22.203001579778839</c:v>
                </c:pt>
                <c:pt idx="3">
                  <c:v>13.244119743406991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8-44AB-9F5B-7165A26908C7}"/>
            </c:ext>
          </c:extLst>
        </c:ser>
        <c:ser>
          <c:idx val="2"/>
          <c:order val="2"/>
          <c:tx>
            <c:strRef>
              <c:f>CarbvRej!$W$5</c:f>
              <c:strCache>
                <c:ptCount val="1"/>
                <c:pt idx="0">
                  <c:v>pH 10.5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CarbvRej!$T$6:$T$9</c:f>
              <c:strCache>
                <c:ptCount val="4"/>
                <c:pt idx="0">
                  <c:v>NF270</c:v>
                </c:pt>
                <c:pt idx="1">
                  <c:v>1L</c:v>
                </c:pt>
                <c:pt idx="2">
                  <c:v>2L</c:v>
                </c:pt>
                <c:pt idx="3">
                  <c:v>5L</c:v>
                </c:pt>
              </c:strCache>
            </c:strRef>
          </c:cat>
          <c:val>
            <c:numRef>
              <c:f>CarbvRej!$W$6:$W$9</c:f>
              <c:numCache>
                <c:formatCode>General</c:formatCode>
                <c:ptCount val="4"/>
                <c:pt idx="0">
                  <c:v>50.400000000000006</c:v>
                </c:pt>
                <c:pt idx="1">
                  <c:v>38.9</c:v>
                </c:pt>
                <c:pt idx="2">
                  <c:v>33</c:v>
                </c:pt>
                <c:pt idx="3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18-44AB-9F5B-7165A2690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2436992"/>
        <c:axId val="622440928"/>
      </c:barChart>
      <c:catAx>
        <c:axId val="62243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40928"/>
        <c:crosses val="autoZero"/>
        <c:auto val="1"/>
        <c:lblAlgn val="ctr"/>
        <c:lblOffset val="100"/>
        <c:noMultiLvlLbl val="0"/>
      </c:catAx>
      <c:valAx>
        <c:axId val="6224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3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3"/>
          <c:tx>
            <c:v>Thickness2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CarbvRej!$AA$29:$AA$31</c:f>
              <c:numCache>
                <c:formatCode>General</c:formatCode>
                <c:ptCount val="3"/>
                <c:pt idx="0">
                  <c:v>21</c:v>
                </c:pt>
                <c:pt idx="1">
                  <c:v>60.1</c:v>
                </c:pt>
                <c:pt idx="2">
                  <c:v>113.5</c:v>
                </c:pt>
              </c:numCache>
            </c:numRef>
          </c:xVal>
          <c:yVal>
            <c:numRef>
              <c:f>CarbvRej!$AB$29:$AB$31</c:f>
              <c:numCache>
                <c:formatCode>General</c:formatCode>
                <c:ptCount val="3"/>
                <c:pt idx="0">
                  <c:v>23.18306954068543</c:v>
                </c:pt>
                <c:pt idx="1">
                  <c:v>32.679266366123365</c:v>
                </c:pt>
                <c:pt idx="2">
                  <c:v>55.595153243050596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3E-4750-9EF9-6569392F47FC}"/>
            </c:ext>
          </c:extLst>
        </c:ser>
        <c:ser>
          <c:idx val="4"/>
          <c:order val="4"/>
          <c:tx>
            <c:v>Surface + thickness2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CarbvRej!$AA$29:$AA$31</c:f>
              <c:numCache>
                <c:formatCode>General</c:formatCode>
                <c:ptCount val="3"/>
                <c:pt idx="0">
                  <c:v>21</c:v>
                </c:pt>
                <c:pt idx="1">
                  <c:v>60.1</c:v>
                </c:pt>
                <c:pt idx="2">
                  <c:v>113.5</c:v>
                </c:pt>
              </c:numCache>
            </c:numRef>
          </c:xVal>
          <c:yVal>
            <c:numRef>
              <c:f>CarbvRej!$AC$29:$AC$31</c:f>
              <c:numCache>
                <c:formatCode>General</c:formatCode>
                <c:ptCount val="3"/>
                <c:pt idx="0">
                  <c:v>25.293751651367554</c:v>
                </c:pt>
                <c:pt idx="1">
                  <c:v>27.076831194852243</c:v>
                </c:pt>
                <c:pt idx="2">
                  <c:v>15.581317345184695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3E-4750-9EF9-6569392F47FC}"/>
            </c:ext>
          </c:extLst>
        </c:ser>
        <c:ser>
          <c:idx val="5"/>
          <c:order val="5"/>
          <c:tx>
            <c:v>All charge + thickness2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CarbvRej!$AA$29:$AA$31</c:f>
              <c:numCache>
                <c:formatCode>General</c:formatCode>
                <c:ptCount val="3"/>
                <c:pt idx="0">
                  <c:v>21</c:v>
                </c:pt>
                <c:pt idx="1">
                  <c:v>60.1</c:v>
                </c:pt>
                <c:pt idx="2">
                  <c:v>113.5</c:v>
                </c:pt>
              </c:numCache>
            </c:numRef>
          </c:xVal>
          <c:yVal>
            <c:numRef>
              <c:f>CarbvRej!$AD$29:$AD$31</c:f>
              <c:numCache>
                <c:formatCode>0.00</c:formatCode>
                <c:ptCount val="3"/>
                <c:pt idx="0">
                  <c:v>51.523178807947019</c:v>
                </c:pt>
                <c:pt idx="1">
                  <c:v>40.243902439024389</c:v>
                </c:pt>
                <c:pt idx="2">
                  <c:v>28.823529411764707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3E-4750-9EF9-6569392F4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58144"/>
        <c:axId val="10790614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Thickness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CarbvRej!$AA$17:$AA$19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</c:v>
                      </c:pt>
                      <c:pt idx="1">
                        <c:v>60.1</c:v>
                      </c:pt>
                      <c:pt idx="2">
                        <c:v>113.5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CarbvRej!$AB$17:$AB$19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17.503217503217499</c:v>
                      </c:pt>
                      <c:pt idx="1">
                        <c:v>26.796998420221161</c:v>
                      </c:pt>
                      <c:pt idx="2">
                        <c:v>47.255880256593009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A3E-4750-9EF9-6569392F47F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Surface + thickness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CarbvRej!$AA$17:$AA$19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</c:v>
                      </c:pt>
                      <c:pt idx="1">
                        <c:v>60.1</c:v>
                      </c:pt>
                      <c:pt idx="2">
                        <c:v>113.5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CarbvRej!$AC$17:$AC$19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36.6</c:v>
                      </c:pt>
                      <c:pt idx="1">
                        <c:v>49</c:v>
                      </c:pt>
                      <c:pt idx="2">
                        <c:v>60.5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3E-4750-9EF9-6569392F47F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All charge + thickness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CarbvRej!$AA$17:$AA$19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</c:v>
                      </c:pt>
                      <c:pt idx="1">
                        <c:v>60.1</c:v>
                      </c:pt>
                      <c:pt idx="2">
                        <c:v>113.5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CarbvRej!$AD$17:$AD$19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75.5</c:v>
                      </c:pt>
                      <c:pt idx="1">
                        <c:v>82</c:v>
                      </c:pt>
                      <c:pt idx="2">
                        <c:v>85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A3E-4750-9EF9-6569392F47FC}"/>
                  </c:ext>
                </c:extLst>
              </c15:ser>
            </c15:filteredScatterSeries>
          </c:ext>
        </c:extLst>
      </c:scatterChart>
      <c:valAx>
        <c:axId val="1079058144"/>
        <c:scaling>
          <c:orientation val="minMax"/>
          <c:max val="113.5"/>
          <c:min val="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61424"/>
        <c:crosses val="autoZero"/>
        <c:crossBetween val="midCat"/>
      </c:valAx>
      <c:valAx>
        <c:axId val="10790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5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NF270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4584981969073561E-2"/>
                  <c:y val="-5.47357369802458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CarbvRej!$C$27:$C$30</c:f>
              <c:numCache>
                <c:formatCode>General</c:formatCode>
                <c:ptCount val="4"/>
                <c:pt idx="0">
                  <c:v>0</c:v>
                </c:pt>
                <c:pt idx="1">
                  <c:v>6.28065003688969E-2</c:v>
                </c:pt>
                <c:pt idx="2">
                  <c:v>0.25604903337737683</c:v>
                </c:pt>
                <c:pt idx="3">
                  <c:v>0.19869389709554328</c:v>
                </c:pt>
              </c:numCache>
            </c:numRef>
          </c:xVal>
          <c:yVal>
            <c:numRef>
              <c:f>CarbvRej!$D$27:$D$30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7.1203112383469218</c:v>
                </c:pt>
                <c:pt idx="2">
                  <c:v>45.955615357676088</c:v>
                </c:pt>
                <c:pt idx="3" formatCode="General">
                  <c:v>50.37090497158831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2-4244-8639-0B7880959CC8}"/>
            </c:ext>
          </c:extLst>
        </c:ser>
        <c:ser>
          <c:idx val="1"/>
          <c:order val="1"/>
          <c:tx>
            <c:v>1L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CarbvRej!$E$27:$E$30</c:f>
              <c:numCache>
                <c:formatCode>General</c:formatCode>
                <c:ptCount val="4"/>
                <c:pt idx="0">
                  <c:v>0</c:v>
                </c:pt>
                <c:pt idx="1">
                  <c:v>7.2606655016755867E-2</c:v>
                </c:pt>
                <c:pt idx="2">
                  <c:v>0.25964450055712218</c:v>
                </c:pt>
                <c:pt idx="3">
                  <c:v>0.24232378783949327</c:v>
                </c:pt>
              </c:numCache>
            </c:numRef>
          </c:xVal>
          <c:yVal>
            <c:numRef>
              <c:f>CarbvRej!$F$27:$F$30</c:f>
              <c:numCache>
                <c:formatCode>General</c:formatCode>
                <c:ptCount val="4"/>
                <c:pt idx="0">
                  <c:v>0</c:v>
                </c:pt>
                <c:pt idx="1">
                  <c:v>18.278884945551603</c:v>
                </c:pt>
                <c:pt idx="2">
                  <c:v>35.527753520833095</c:v>
                </c:pt>
                <c:pt idx="3">
                  <c:v>38.902858512614607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B2-4244-8639-0B7880959CC8}"/>
            </c:ext>
          </c:extLst>
        </c:ser>
        <c:ser>
          <c:idx val="2"/>
          <c:order val="2"/>
          <c:tx>
            <c:v>2L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CarbvRej!$G$27:$G$30</c:f>
              <c:numCache>
                <c:formatCode>General</c:formatCode>
                <c:ptCount val="4"/>
                <c:pt idx="0">
                  <c:v>0</c:v>
                </c:pt>
                <c:pt idx="1">
                  <c:v>7.4916865874369382E-2</c:v>
                </c:pt>
                <c:pt idx="2">
                  <c:v>0.19397893866703578</c:v>
                </c:pt>
                <c:pt idx="3">
                  <c:v>0.25473900828731177</c:v>
                </c:pt>
              </c:numCache>
            </c:numRef>
          </c:xVal>
          <c:yVal>
            <c:numRef>
              <c:f>CarbvRej!$H$27:$H$30</c:f>
              <c:numCache>
                <c:formatCode>General</c:formatCode>
                <c:ptCount val="4"/>
                <c:pt idx="0">
                  <c:v>0</c:v>
                </c:pt>
                <c:pt idx="1">
                  <c:v>16.78057876642827</c:v>
                </c:pt>
                <c:pt idx="2">
                  <c:v>29.022234541355949</c:v>
                </c:pt>
                <c:pt idx="3">
                  <c:v>33.009450573143106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B2-4244-8639-0B7880959CC8}"/>
            </c:ext>
          </c:extLst>
        </c:ser>
        <c:ser>
          <c:idx val="3"/>
          <c:order val="3"/>
          <c:tx>
            <c:v>5L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CarbvRej!$I$27:$I$30</c:f>
              <c:numCache>
                <c:formatCode>General</c:formatCode>
                <c:ptCount val="4"/>
                <c:pt idx="0">
                  <c:v>0</c:v>
                </c:pt>
                <c:pt idx="1">
                  <c:v>5.8311606016155849E-2</c:v>
                </c:pt>
                <c:pt idx="2">
                  <c:v>0.13569091753408899</c:v>
                </c:pt>
                <c:pt idx="3">
                  <c:v>0.20962674642714324</c:v>
                </c:pt>
              </c:numCache>
            </c:numRef>
          </c:xVal>
          <c:yVal>
            <c:numRef>
              <c:f>CarbvRej!$J$27:$J$30</c:f>
              <c:numCache>
                <c:formatCode>General</c:formatCode>
                <c:ptCount val="4"/>
                <c:pt idx="0">
                  <c:v>0</c:v>
                </c:pt>
                <c:pt idx="1">
                  <c:v>7.95602289337549</c:v>
                </c:pt>
                <c:pt idx="2">
                  <c:v>20.66243733076108</c:v>
                </c:pt>
                <c:pt idx="3">
                  <c:v>24.515382163223407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B2-4244-8639-0B7880959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583888"/>
        <c:axId val="994577984"/>
      </c:scatterChart>
      <c:valAx>
        <c:axId val="99458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577984"/>
        <c:crosses val="autoZero"/>
        <c:crossBetween val="midCat"/>
      </c:valAx>
      <c:valAx>
        <c:axId val="9945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58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CarbvRej!$C$37:$C$40</c:f>
              <c:numCache>
                <c:formatCode>General</c:formatCode>
                <c:ptCount val="4"/>
                <c:pt idx="0">
                  <c:v>0</c:v>
                </c:pt>
                <c:pt idx="1">
                  <c:v>6.28065003688969E-2</c:v>
                </c:pt>
                <c:pt idx="2">
                  <c:v>0.25604903337737683</c:v>
                </c:pt>
                <c:pt idx="3">
                  <c:v>0.19869389709554328</c:v>
                </c:pt>
              </c:numCache>
            </c:numRef>
          </c:xVal>
          <c:yVal>
            <c:numRef>
              <c:f>CarbvRej!$D$37:$D$40</c:f>
              <c:numCache>
                <c:formatCode>General</c:formatCode>
                <c:ptCount val="4"/>
                <c:pt idx="0">
                  <c:v>0</c:v>
                </c:pt>
                <c:pt idx="1">
                  <c:v>12.195495372890587</c:v>
                </c:pt>
                <c:pt idx="2" formatCode="0.00">
                  <c:v>45.088827869123634</c:v>
                </c:pt>
                <c:pt idx="3">
                  <c:v>46.717915520310726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8-4A0D-A417-875841AC51D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099046081098971"/>
                  <c:y val="0.11434581203665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CarbvRej!$E$37:$E$40</c:f>
              <c:numCache>
                <c:formatCode>General</c:formatCode>
                <c:ptCount val="4"/>
                <c:pt idx="0">
                  <c:v>0</c:v>
                </c:pt>
                <c:pt idx="1">
                  <c:v>7.2606655016755867E-2</c:v>
                </c:pt>
                <c:pt idx="2">
                  <c:v>0.25964450055712218</c:v>
                </c:pt>
                <c:pt idx="3">
                  <c:v>0.24232378783949327</c:v>
                </c:pt>
              </c:numCache>
            </c:numRef>
          </c:xVal>
          <c:yVal>
            <c:numRef>
              <c:f>CarbvRej!$F$37:$F$40</c:f>
              <c:numCache>
                <c:formatCode>General</c:formatCode>
                <c:ptCount val="4"/>
                <c:pt idx="0">
                  <c:v>0</c:v>
                </c:pt>
                <c:pt idx="1">
                  <c:v>19.124019124019124</c:v>
                </c:pt>
                <c:pt idx="2">
                  <c:v>26.129063383965349</c:v>
                </c:pt>
                <c:pt idx="3">
                  <c:v>28.613053613053612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B8-4A0D-A417-875841AC51D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CarbvRej!$G$37:$G$40</c:f>
              <c:numCache>
                <c:formatCode>General</c:formatCode>
                <c:ptCount val="4"/>
                <c:pt idx="0">
                  <c:v>0</c:v>
                </c:pt>
                <c:pt idx="1">
                  <c:v>7.4916865874369382E-2</c:v>
                </c:pt>
                <c:pt idx="2">
                  <c:v>0.19397893866703578</c:v>
                </c:pt>
                <c:pt idx="3">
                  <c:v>0.25473900828731177</c:v>
                </c:pt>
              </c:numCache>
            </c:numRef>
          </c:xVal>
          <c:yVal>
            <c:numRef>
              <c:f>CarbvRej!$H$37:$H$40</c:f>
              <c:numCache>
                <c:formatCode>General</c:formatCode>
                <c:ptCount val="4"/>
                <c:pt idx="0">
                  <c:v>0</c:v>
                </c:pt>
                <c:pt idx="1">
                  <c:v>20.372609165712614</c:v>
                </c:pt>
                <c:pt idx="2">
                  <c:v>29.634275902932632</c:v>
                </c:pt>
                <c:pt idx="3">
                  <c:v>38.409713898313257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B8-4A0D-A417-875841AC51D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CarbvRej!$I$37:$I$40</c:f>
              <c:numCache>
                <c:formatCode>General</c:formatCode>
                <c:ptCount val="4"/>
                <c:pt idx="0">
                  <c:v>0</c:v>
                </c:pt>
                <c:pt idx="1">
                  <c:v>5.8311606016155849E-2</c:v>
                </c:pt>
                <c:pt idx="2">
                  <c:v>0.13569091753408899</c:v>
                </c:pt>
                <c:pt idx="3">
                  <c:v>0.20962674642714324</c:v>
                </c:pt>
              </c:numCache>
            </c:numRef>
          </c:xVal>
          <c:yVal>
            <c:numRef>
              <c:f>CarbvRej!$J$37:$J$40</c:f>
              <c:numCache>
                <c:formatCode>General</c:formatCode>
                <c:ptCount val="4"/>
                <c:pt idx="0">
                  <c:v>0</c:v>
                </c:pt>
                <c:pt idx="1">
                  <c:v>14.109705499652684</c:v>
                </c:pt>
                <c:pt idx="2">
                  <c:v>29.071452909968372</c:v>
                </c:pt>
                <c:pt idx="3">
                  <c:v>35.699284863235164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B8-4A0D-A417-875841AC5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583888"/>
        <c:axId val="994577984"/>
      </c:scatterChart>
      <c:valAx>
        <c:axId val="99458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577984"/>
        <c:crosses val="autoZero"/>
        <c:crossBetween val="midCat"/>
      </c:valAx>
      <c:valAx>
        <c:axId val="9945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58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CarbvSelec!$B$8:$B$11</c:f>
              <c:numCache>
                <c:formatCode>General</c:formatCode>
                <c:ptCount val="4"/>
                <c:pt idx="0">
                  <c:v>0</c:v>
                </c:pt>
                <c:pt idx="1">
                  <c:v>6.28065003688969E-2</c:v>
                </c:pt>
                <c:pt idx="2">
                  <c:v>0.25604903337737683</c:v>
                </c:pt>
                <c:pt idx="3">
                  <c:v>0.19869389709554328</c:v>
                </c:pt>
              </c:numCache>
            </c:numRef>
          </c:xVal>
          <c:yVal>
            <c:numRef>
              <c:f>CarbvSelec!$H$8:$H$11</c:f>
              <c:numCache>
                <c:formatCode>General</c:formatCode>
                <c:ptCount val="4"/>
                <c:pt idx="0">
                  <c:v>1</c:v>
                </c:pt>
                <c:pt idx="1">
                  <c:v>0.88423439551259064</c:v>
                </c:pt>
                <c:pt idx="2">
                  <c:v>0.25283047139560649</c:v>
                </c:pt>
                <c:pt idx="3">
                  <c:v>0.18104447018982278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28-4402-8483-59CC2354CB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CarbvSelec!$K$8:$K$11</c:f>
              <c:numCache>
                <c:formatCode>General</c:formatCode>
                <c:ptCount val="4"/>
                <c:pt idx="0">
                  <c:v>0</c:v>
                </c:pt>
                <c:pt idx="1">
                  <c:v>7.2606655016755867E-2</c:v>
                </c:pt>
                <c:pt idx="2">
                  <c:v>0.25964450055712218</c:v>
                </c:pt>
                <c:pt idx="3">
                  <c:v>0.24232378783949327</c:v>
                </c:pt>
              </c:numCache>
            </c:numRef>
          </c:xVal>
          <c:yVal>
            <c:numRef>
              <c:f>CarbvSelec!$O$8:$O$11</c:f>
              <c:numCache>
                <c:formatCode>General</c:formatCode>
                <c:ptCount val="4"/>
                <c:pt idx="0">
                  <c:v>1</c:v>
                </c:pt>
                <c:pt idx="1">
                  <c:v>0.71164704756436048</c:v>
                </c:pt>
                <c:pt idx="2">
                  <c:v>0.43954280298530735</c:v>
                </c:pt>
                <c:pt idx="3">
                  <c:v>0.38629986764983926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28-4402-8483-59CC2354CB1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CarbvSelec!$R$8:$R$11</c:f>
              <c:numCache>
                <c:formatCode>General</c:formatCode>
                <c:ptCount val="4"/>
                <c:pt idx="0">
                  <c:v>0</c:v>
                </c:pt>
                <c:pt idx="1">
                  <c:v>7.4916865874369382E-2</c:v>
                </c:pt>
                <c:pt idx="2">
                  <c:v>0.19397893866703578</c:v>
                </c:pt>
                <c:pt idx="3">
                  <c:v>0.25473900828731177</c:v>
                </c:pt>
              </c:numCache>
            </c:numRef>
          </c:xVal>
          <c:yVal>
            <c:numRef>
              <c:f>CarbvSelec!$V$8:$V$11</c:f>
              <c:numCache>
                <c:formatCode>General</c:formatCode>
                <c:ptCount val="4"/>
                <c:pt idx="0">
                  <c:v>1</c:v>
                </c:pt>
                <c:pt idx="1">
                  <c:v>0.67128271909880632</c:v>
                </c:pt>
                <c:pt idx="2">
                  <c:v>0.43147908323654127</c:v>
                </c:pt>
                <c:pt idx="3">
                  <c:v>0.35337290879654637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28-4402-8483-59CC2354CB1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CarbvSelec!$Y$8:$Y$11</c:f>
              <c:numCache>
                <c:formatCode>General</c:formatCode>
                <c:ptCount val="4"/>
                <c:pt idx="0">
                  <c:v>0</c:v>
                </c:pt>
                <c:pt idx="1">
                  <c:v>5.8311606016155849E-2</c:v>
                </c:pt>
                <c:pt idx="2">
                  <c:v>0.13569091753408899</c:v>
                </c:pt>
                <c:pt idx="3">
                  <c:v>0.20962674642714324</c:v>
                </c:pt>
              </c:numCache>
            </c:numRef>
          </c:xVal>
          <c:yVal>
            <c:numRef>
              <c:f>CarbvSelec!$AC$8:$AC$11</c:f>
              <c:numCache>
                <c:formatCode>General</c:formatCode>
                <c:ptCount val="4"/>
                <c:pt idx="0">
                  <c:v>1</c:v>
                </c:pt>
                <c:pt idx="1">
                  <c:v>0.79834751563742468</c:v>
                </c:pt>
                <c:pt idx="2">
                  <c:v>0.47629212779122354</c:v>
                </c:pt>
                <c:pt idx="3">
                  <c:v>0.37863581030816301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28-4402-8483-59CC2354C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056456"/>
        <c:axId val="975054160"/>
      </c:scatterChart>
      <c:valAx>
        <c:axId val="97505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054160"/>
        <c:crosses val="autoZero"/>
        <c:crossBetween val="midCat"/>
      </c:valAx>
      <c:valAx>
        <c:axId val="9750541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05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CarbvSelec!$B$18:$B$21</c:f>
              <c:numCache>
                <c:formatCode>General</c:formatCode>
                <c:ptCount val="4"/>
                <c:pt idx="0">
                  <c:v>0</c:v>
                </c:pt>
                <c:pt idx="1">
                  <c:v>6.28065003688969E-2</c:v>
                </c:pt>
                <c:pt idx="2">
                  <c:v>0.25604903337737683</c:v>
                </c:pt>
                <c:pt idx="3">
                  <c:v>0.19869389709554328</c:v>
                </c:pt>
              </c:numCache>
            </c:numRef>
          </c:xVal>
          <c:yVal>
            <c:numRef>
              <c:f>CarbvSelec!$H$18:$H$21</c:f>
              <c:numCache>
                <c:formatCode>General</c:formatCode>
                <c:ptCount val="4"/>
                <c:pt idx="0">
                  <c:v>1</c:v>
                </c:pt>
                <c:pt idx="1">
                  <c:v>0.8529496225795864</c:v>
                </c:pt>
                <c:pt idx="2">
                  <c:v>0.45632965674053094</c:v>
                </c:pt>
                <c:pt idx="3">
                  <c:v>0.43668650600058539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D1-45C2-AC62-102214DFB3D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CarbvSelec!$K$18:$K$21</c:f>
              <c:numCache>
                <c:formatCode>General</c:formatCode>
                <c:ptCount val="4"/>
                <c:pt idx="0">
                  <c:v>0</c:v>
                </c:pt>
                <c:pt idx="1">
                  <c:v>7.2606655016755867E-2</c:v>
                </c:pt>
                <c:pt idx="2">
                  <c:v>0.25964450055712218</c:v>
                </c:pt>
                <c:pt idx="3">
                  <c:v>0.24232378783949327</c:v>
                </c:pt>
              </c:numCache>
            </c:numRef>
          </c:xVal>
          <c:yVal>
            <c:numRef>
              <c:f>CarbvSelec!$O$18:$O$21</c:f>
              <c:numCache>
                <c:formatCode>General</c:formatCode>
                <c:ptCount val="4"/>
                <c:pt idx="0">
                  <c:v>1</c:v>
                </c:pt>
                <c:pt idx="1">
                  <c:v>0.76356760218431674</c:v>
                </c:pt>
                <c:pt idx="2">
                  <c:v>0.67696345268815161</c:v>
                </c:pt>
                <c:pt idx="3">
                  <c:v>0.64625360230547535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D1-45C2-AC62-102214DFB3D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CarbvSelec!$R$18:$R$21</c:f>
              <c:numCache>
                <c:formatCode>General</c:formatCode>
                <c:ptCount val="4"/>
                <c:pt idx="0">
                  <c:v>0</c:v>
                </c:pt>
                <c:pt idx="1">
                  <c:v>7.4916865874369382E-2</c:v>
                </c:pt>
                <c:pt idx="2">
                  <c:v>0.19397893866703578</c:v>
                </c:pt>
                <c:pt idx="3">
                  <c:v>0.25473900828731177</c:v>
                </c:pt>
              </c:numCache>
            </c:numRef>
          </c:xVal>
          <c:yVal>
            <c:numRef>
              <c:f>CarbvSelec!$V$18:$V$21</c:f>
              <c:numCache>
                <c:formatCode>General</c:formatCode>
                <c:ptCount val="4"/>
                <c:pt idx="0">
                  <c:v>1</c:v>
                </c:pt>
                <c:pt idx="1">
                  <c:v>0.74749688618317978</c:v>
                </c:pt>
                <c:pt idx="2">
                  <c:v>0.63270551747535508</c:v>
                </c:pt>
                <c:pt idx="3">
                  <c:v>0.52394058702799218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D1-45C2-AC62-102214DFB3D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CarbvSelec!$Y$18:$Y$21</c:f>
              <c:numCache>
                <c:formatCode>General</c:formatCode>
                <c:ptCount val="4"/>
                <c:pt idx="0">
                  <c:v>0</c:v>
                </c:pt>
                <c:pt idx="1">
                  <c:v>5.8311606016155849E-2</c:v>
                </c:pt>
                <c:pt idx="2">
                  <c:v>0.13569091753408899</c:v>
                </c:pt>
                <c:pt idx="3">
                  <c:v>0.20962674642714324</c:v>
                </c:pt>
              </c:numCache>
            </c:numRef>
          </c:xVal>
          <c:yVal>
            <c:numRef>
              <c:f>CarbvSelec!$AC$18:$AC$21</c:f>
              <c:numCache>
                <c:formatCode>General</c:formatCode>
                <c:ptCount val="4"/>
                <c:pt idx="0">
                  <c:v>1</c:v>
                </c:pt>
                <c:pt idx="1">
                  <c:v>0.75749205040756984</c:v>
                </c:pt>
                <c:pt idx="2">
                  <c:v>0.50033978830792358</c:v>
                </c:pt>
                <c:pt idx="3">
                  <c:v>0.38642515435121316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D1-45C2-AC62-102214DF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056456"/>
        <c:axId val="975054160"/>
      </c:scatterChart>
      <c:valAx>
        <c:axId val="97505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054160"/>
        <c:crosses val="autoZero"/>
        <c:crossBetween val="midCat"/>
      </c:valAx>
      <c:valAx>
        <c:axId val="9750541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05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'PIP Layers Na2SO4'!$AA$74:$AA$79</c:f>
                <c:numCache>
                  <c:formatCode>General</c:formatCode>
                  <c:ptCount val="6"/>
                  <c:pt idx="0">
                    <c:v>8.0195028144629905</c:v>
                  </c:pt>
                  <c:pt idx="1">
                    <c:v>7.1627078215476709</c:v>
                  </c:pt>
                  <c:pt idx="2">
                    <c:v>5.1934392225921071</c:v>
                  </c:pt>
                  <c:pt idx="3">
                    <c:v>4.4556568397337548</c:v>
                  </c:pt>
                  <c:pt idx="4">
                    <c:v>3.898438804877344</c:v>
                  </c:pt>
                  <c:pt idx="5">
                    <c:v>3.6722405935963485</c:v>
                  </c:pt>
                </c:numCache>
              </c:numRef>
            </c:plus>
            <c:minus>
              <c:numRef>
                <c:f>'PIP Layers Na2SO4'!$AA$74:$AA$79</c:f>
                <c:numCache>
                  <c:formatCode>General</c:formatCode>
                  <c:ptCount val="6"/>
                  <c:pt idx="0">
                    <c:v>8.0195028144629905</c:v>
                  </c:pt>
                  <c:pt idx="1">
                    <c:v>7.1627078215476709</c:v>
                  </c:pt>
                  <c:pt idx="2">
                    <c:v>5.1934392225921071</c:v>
                  </c:pt>
                  <c:pt idx="3">
                    <c:v>4.4556568397337548</c:v>
                  </c:pt>
                  <c:pt idx="4">
                    <c:v>3.898438804877344</c:v>
                  </c:pt>
                  <c:pt idx="5">
                    <c:v>3.6722405935963485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'PIP Layers Na2SO4'!$Y$74:$Y$79</c:f>
              <c:numCache>
                <c:formatCode>General</c:formatCode>
                <c:ptCount val="6"/>
                <c:pt idx="0">
                  <c:v>3.52</c:v>
                </c:pt>
                <c:pt idx="1">
                  <c:v>5.0999999999999996</c:v>
                </c:pt>
                <c:pt idx="2">
                  <c:v>6.57</c:v>
                </c:pt>
                <c:pt idx="3">
                  <c:v>8.94</c:v>
                </c:pt>
                <c:pt idx="4">
                  <c:v>9.8699999999999992</c:v>
                </c:pt>
                <c:pt idx="5">
                  <c:v>10.4</c:v>
                </c:pt>
              </c:numCache>
            </c:numRef>
          </c:xVal>
          <c:yVal>
            <c:numRef>
              <c:f>'PIP Layers Na2SO4'!$Z$74:$Z$79</c:f>
              <c:numCache>
                <c:formatCode>0.00</c:formatCode>
                <c:ptCount val="6"/>
                <c:pt idx="0">
                  <c:v>52.019340159271906</c:v>
                </c:pt>
                <c:pt idx="1">
                  <c:v>87.090558766859331</c:v>
                </c:pt>
                <c:pt idx="2">
                  <c:v>90.966921119592882</c:v>
                </c:pt>
                <c:pt idx="3">
                  <c:v>91.992325557911741</c:v>
                </c:pt>
                <c:pt idx="4">
                  <c:v>92.538849439127304</c:v>
                </c:pt>
                <c:pt idx="5">
                  <c:v>92.939033536912049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CB-491C-AD2F-A7638C4B2896}"/>
            </c:ext>
          </c:extLst>
        </c:ser>
        <c:ser>
          <c:idx val="1"/>
          <c:order val="1"/>
          <c:tx>
            <c:v>1L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'PIP Layers Na2SO4'!$AD$74:$AD$79</c:f>
                <c:numCache>
                  <c:formatCode>General</c:formatCode>
                  <c:ptCount val="6"/>
                  <c:pt idx="0">
                    <c:v>4.6496101454843792</c:v>
                  </c:pt>
                  <c:pt idx="1">
                    <c:v>4.7702048241119934</c:v>
                  </c:pt>
                  <c:pt idx="2">
                    <c:v>4.0849788080955927</c:v>
                  </c:pt>
                  <c:pt idx="3">
                    <c:v>4.0425649586952348</c:v>
                  </c:pt>
                  <c:pt idx="4">
                    <c:v>4.176864889867276</c:v>
                  </c:pt>
                  <c:pt idx="5">
                    <c:v>3.6131428230004978</c:v>
                  </c:pt>
                </c:numCache>
              </c:numRef>
            </c:plus>
            <c:minus>
              <c:numRef>
                <c:f>'PIP Layers Na2SO4'!$AD$74:$AD$79</c:f>
                <c:numCache>
                  <c:formatCode>General</c:formatCode>
                  <c:ptCount val="6"/>
                  <c:pt idx="0">
                    <c:v>4.6496101454843792</c:v>
                  </c:pt>
                  <c:pt idx="1">
                    <c:v>4.7702048241119934</c:v>
                  </c:pt>
                  <c:pt idx="2">
                    <c:v>4.0849788080955927</c:v>
                  </c:pt>
                  <c:pt idx="3">
                    <c:v>4.0425649586952348</c:v>
                  </c:pt>
                  <c:pt idx="4">
                    <c:v>4.176864889867276</c:v>
                  </c:pt>
                  <c:pt idx="5">
                    <c:v>3.6131428230004978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'PIP Layers Na2SO4'!$AB$74:$AB$79</c:f>
              <c:numCache>
                <c:formatCode>General</c:formatCode>
                <c:ptCount val="6"/>
                <c:pt idx="0">
                  <c:v>3.57</c:v>
                </c:pt>
                <c:pt idx="1">
                  <c:v>5.24</c:v>
                </c:pt>
                <c:pt idx="2">
                  <c:v>6.78</c:v>
                </c:pt>
                <c:pt idx="3">
                  <c:v>8.7200000000000006</c:v>
                </c:pt>
                <c:pt idx="4">
                  <c:v>9.91</c:v>
                </c:pt>
                <c:pt idx="5">
                  <c:v>10.43</c:v>
                </c:pt>
              </c:numCache>
            </c:numRef>
          </c:xVal>
          <c:yVal>
            <c:numRef>
              <c:f>'PIP Layers Na2SO4'!$AC$74:$AC$79</c:f>
              <c:numCache>
                <c:formatCode>0.00</c:formatCode>
                <c:ptCount val="6"/>
                <c:pt idx="0">
                  <c:v>48.210543961109714</c:v>
                </c:pt>
                <c:pt idx="1">
                  <c:v>85.112692763938313</c:v>
                </c:pt>
                <c:pt idx="2">
                  <c:v>87.974791347300297</c:v>
                </c:pt>
                <c:pt idx="3">
                  <c:v>88.557469786577528</c:v>
                </c:pt>
                <c:pt idx="4">
                  <c:v>90.356773526370205</c:v>
                </c:pt>
                <c:pt idx="5">
                  <c:v>91.470461405778352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DF-4ACF-A10E-75831AFAC8E8}"/>
            </c:ext>
          </c:extLst>
        </c:ser>
        <c:ser>
          <c:idx val="2"/>
          <c:order val="2"/>
          <c:tx>
            <c:v>5L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'PIP Layers Na2SO4'!$X$74:$X$79</c:f>
                <c:numCache>
                  <c:formatCode>General</c:formatCode>
                  <c:ptCount val="6"/>
                  <c:pt idx="0">
                    <c:v>2.4915126604714697</c:v>
                  </c:pt>
                  <c:pt idx="1">
                    <c:v>1.5419448747988875</c:v>
                  </c:pt>
                  <c:pt idx="2">
                    <c:v>2.2848802564195223</c:v>
                  </c:pt>
                  <c:pt idx="3">
                    <c:v>2.181147460865255</c:v>
                  </c:pt>
                  <c:pt idx="4">
                    <c:v>1.9463098037815467</c:v>
                  </c:pt>
                  <c:pt idx="5">
                    <c:v>1.7083419568274096</c:v>
                  </c:pt>
                </c:numCache>
              </c:numRef>
            </c:plus>
            <c:minus>
              <c:numRef>
                <c:f>'PIP Layers Na2SO4'!$X$74:$X$79</c:f>
                <c:numCache>
                  <c:formatCode>General</c:formatCode>
                  <c:ptCount val="6"/>
                  <c:pt idx="0">
                    <c:v>2.4915126604714697</c:v>
                  </c:pt>
                  <c:pt idx="1">
                    <c:v>1.5419448747988875</c:v>
                  </c:pt>
                  <c:pt idx="2">
                    <c:v>2.2848802564195223</c:v>
                  </c:pt>
                  <c:pt idx="3">
                    <c:v>2.181147460865255</c:v>
                  </c:pt>
                  <c:pt idx="4">
                    <c:v>1.9463098037815467</c:v>
                  </c:pt>
                  <c:pt idx="5">
                    <c:v>1.7083419568274096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'PIP Layers Na2SO4'!$V$74:$V$79</c:f>
              <c:numCache>
                <c:formatCode>General</c:formatCode>
                <c:ptCount val="6"/>
                <c:pt idx="0">
                  <c:v>3.48</c:v>
                </c:pt>
                <c:pt idx="1">
                  <c:v>5.2</c:v>
                </c:pt>
                <c:pt idx="2">
                  <c:v>6.7</c:v>
                </c:pt>
                <c:pt idx="3">
                  <c:v>8.9</c:v>
                </c:pt>
                <c:pt idx="4">
                  <c:v>9.9</c:v>
                </c:pt>
                <c:pt idx="5">
                  <c:v>10.43</c:v>
                </c:pt>
              </c:numCache>
            </c:numRef>
          </c:xVal>
          <c:yVal>
            <c:numRef>
              <c:f>'PIP Layers Na2SO4'!$W$74:$W$79</c:f>
              <c:numCache>
                <c:formatCode>0.00</c:formatCode>
                <c:ptCount val="6"/>
                <c:pt idx="0">
                  <c:v>60.410341337749564</c:v>
                </c:pt>
                <c:pt idx="1">
                  <c:v>92.148485711573144</c:v>
                </c:pt>
                <c:pt idx="2">
                  <c:v>93.338923048257868</c:v>
                </c:pt>
                <c:pt idx="3">
                  <c:v>94.365790234036396</c:v>
                </c:pt>
                <c:pt idx="4">
                  <c:v>94.728591024887308</c:v>
                </c:pt>
                <c:pt idx="5">
                  <c:v>94.941744813867601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5D-4361-ADF1-DFB361438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97720"/>
        <c:axId val="620799688"/>
      </c:scatterChart>
      <c:valAx>
        <c:axId val="62079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99688"/>
        <c:crosses val="autoZero"/>
        <c:crossBetween val="midCat"/>
      </c:valAx>
      <c:valAx>
        <c:axId val="6207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9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nf270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 values'!$L$3:$L$8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1.2954575159608992</c:v>
                  </c:pt>
                  <c:pt idx="2">
                    <c:v>0.37715812982406133</c:v>
                  </c:pt>
                  <c:pt idx="3">
                    <c:v>0.20747011804078944</c:v>
                  </c:pt>
                  <c:pt idx="4">
                    <c:v>5.2149756125970887E-3</c:v>
                  </c:pt>
                  <c:pt idx="5">
                    <c:v>7.2431129455395359E-3</c:v>
                  </c:pt>
                </c:numCache>
              </c:numRef>
            </c:plus>
            <c:minus>
              <c:numRef>
                <c:f>'B values'!$L$3:$L$8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1.2954575159608992</c:v>
                  </c:pt>
                  <c:pt idx="2">
                    <c:v>0.37715812982406133</c:v>
                  </c:pt>
                  <c:pt idx="3">
                    <c:v>0.20747011804078944</c:v>
                  </c:pt>
                  <c:pt idx="4">
                    <c:v>5.2149756125970887E-3</c:v>
                  </c:pt>
                  <c:pt idx="5">
                    <c:v>7.2431129455395359E-3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 values'!$A$3:$A$8</c:f>
              <c:numCache>
                <c:formatCode>General</c:formatCode>
                <c:ptCount val="6"/>
                <c:pt idx="0">
                  <c:v>3.53</c:v>
                </c:pt>
                <c:pt idx="1">
                  <c:v>4.9400000000000004</c:v>
                </c:pt>
                <c:pt idx="2">
                  <c:v>6.63</c:v>
                </c:pt>
                <c:pt idx="3">
                  <c:v>8.85</c:v>
                </c:pt>
                <c:pt idx="4">
                  <c:v>9.98</c:v>
                </c:pt>
                <c:pt idx="5">
                  <c:v>10.44</c:v>
                </c:pt>
              </c:numCache>
            </c:numRef>
          </c:xVal>
          <c:yVal>
            <c:numRef>
              <c:f>'B values'!$K$3:$K$8</c:f>
              <c:numCache>
                <c:formatCode>0.00</c:formatCode>
                <c:ptCount val="6"/>
                <c:pt idx="0">
                  <c:v>18.423798029888797</c:v>
                </c:pt>
                <c:pt idx="1">
                  <c:v>47.931928090553519</c:v>
                </c:pt>
                <c:pt idx="2">
                  <c:v>14.4577283099224</c:v>
                </c:pt>
                <c:pt idx="3">
                  <c:v>10.788446138121051</c:v>
                </c:pt>
                <c:pt idx="4">
                  <c:v>1.6661847082247965</c:v>
                </c:pt>
                <c:pt idx="5">
                  <c:v>1.1338257572440782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69-4BAE-A444-5E4847BF6AB3}"/>
            </c:ext>
          </c:extLst>
        </c:ser>
        <c:ser>
          <c:idx val="1"/>
          <c:order val="1"/>
          <c:tx>
            <c:v>1L PIP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 values'!$L$21:$L$26</c:f>
                <c:numCache>
                  <c:formatCode>General</c:formatCode>
                  <c:ptCount val="6"/>
                  <c:pt idx="0">
                    <c:v>1.0151652009211176</c:v>
                  </c:pt>
                  <c:pt idx="1">
                    <c:v>4.904990461738775</c:v>
                  </c:pt>
                  <c:pt idx="2">
                    <c:v>2.2273046488648878</c:v>
                  </c:pt>
                  <c:pt idx="3">
                    <c:v>0.37102259538273741</c:v>
                  </c:pt>
                  <c:pt idx="4">
                    <c:v>0.12246458623385134</c:v>
                  </c:pt>
                  <c:pt idx="5">
                    <c:v>0.14241361368596786</c:v>
                  </c:pt>
                </c:numCache>
              </c:numRef>
            </c:plus>
            <c:minus>
              <c:numRef>
                <c:f>'B values'!$L$21:$L$26</c:f>
                <c:numCache>
                  <c:formatCode>General</c:formatCode>
                  <c:ptCount val="6"/>
                  <c:pt idx="0">
                    <c:v>1.0151652009211176</c:v>
                  </c:pt>
                  <c:pt idx="1">
                    <c:v>4.904990461738775</c:v>
                  </c:pt>
                  <c:pt idx="2">
                    <c:v>2.2273046488648878</c:v>
                  </c:pt>
                  <c:pt idx="3">
                    <c:v>0.37102259538273741</c:v>
                  </c:pt>
                  <c:pt idx="4">
                    <c:v>0.12246458623385134</c:v>
                  </c:pt>
                  <c:pt idx="5">
                    <c:v>0.14241361368596786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 values'!$A$21:$A$26</c:f>
              <c:numCache>
                <c:formatCode>General</c:formatCode>
                <c:ptCount val="6"/>
                <c:pt idx="0">
                  <c:v>3.5</c:v>
                </c:pt>
                <c:pt idx="1">
                  <c:v>4.9000000000000004</c:v>
                </c:pt>
                <c:pt idx="2">
                  <c:v>6.25</c:v>
                </c:pt>
                <c:pt idx="3">
                  <c:v>8.6</c:v>
                </c:pt>
                <c:pt idx="4">
                  <c:v>9.9</c:v>
                </c:pt>
                <c:pt idx="5">
                  <c:v>10.49</c:v>
                </c:pt>
              </c:numCache>
            </c:numRef>
          </c:xVal>
          <c:yVal>
            <c:numRef>
              <c:f>'B values'!$K$21:$K$26</c:f>
              <c:numCache>
                <c:formatCode>0.00</c:formatCode>
                <c:ptCount val="6"/>
                <c:pt idx="0">
                  <c:v>17.560548409290472</c:v>
                </c:pt>
                <c:pt idx="1">
                  <c:v>42.647116541253681</c:v>
                </c:pt>
                <c:pt idx="2">
                  <c:v>15.667654621025333</c:v>
                </c:pt>
                <c:pt idx="3">
                  <c:v>7.4367184752864288</c:v>
                </c:pt>
                <c:pt idx="4">
                  <c:v>3.4949293602074185</c:v>
                </c:pt>
                <c:pt idx="5">
                  <c:v>2.9342918853620894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69-4BAE-A444-5E4847BF6AB3}"/>
            </c:ext>
          </c:extLst>
        </c:ser>
        <c:ser>
          <c:idx val="2"/>
          <c:order val="2"/>
          <c:tx>
            <c:v>2L PIP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 values'!$A$39:$A$44</c:f>
              <c:numCache>
                <c:formatCode>General</c:formatCode>
                <c:ptCount val="6"/>
                <c:pt idx="0">
                  <c:v>3.5</c:v>
                </c:pt>
                <c:pt idx="1">
                  <c:v>5.18</c:v>
                </c:pt>
                <c:pt idx="2">
                  <c:v>6.78</c:v>
                </c:pt>
                <c:pt idx="3">
                  <c:v>8.89</c:v>
                </c:pt>
                <c:pt idx="4">
                  <c:v>9.9600000000000009</c:v>
                </c:pt>
                <c:pt idx="5">
                  <c:v>10.5</c:v>
                </c:pt>
              </c:numCache>
            </c:numRef>
          </c:xVal>
          <c:yVal>
            <c:numRef>
              <c:f>'B values'!$K$39:$K$44</c:f>
              <c:numCache>
                <c:formatCode>0.00</c:formatCode>
                <c:ptCount val="6"/>
                <c:pt idx="0">
                  <c:v>16.669622531615367</c:v>
                </c:pt>
                <c:pt idx="1">
                  <c:v>24.717997853053078</c:v>
                </c:pt>
                <c:pt idx="2">
                  <c:v>9.4360541057244163</c:v>
                </c:pt>
                <c:pt idx="3">
                  <c:v>4.7171984848120427</c:v>
                </c:pt>
                <c:pt idx="4">
                  <c:v>2.5560379040563825</c:v>
                </c:pt>
                <c:pt idx="5">
                  <c:v>1.9915081928064189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69-4BAE-A444-5E4847BF6AB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 values'!$A$57:$A$62</c:f>
              <c:numCache>
                <c:formatCode>General</c:formatCode>
                <c:ptCount val="6"/>
                <c:pt idx="0">
                  <c:v>3.47</c:v>
                </c:pt>
                <c:pt idx="1">
                  <c:v>5.15</c:v>
                </c:pt>
                <c:pt idx="2">
                  <c:v>6.5</c:v>
                </c:pt>
                <c:pt idx="3">
                  <c:v>8.9</c:v>
                </c:pt>
                <c:pt idx="4">
                  <c:v>10</c:v>
                </c:pt>
                <c:pt idx="5">
                  <c:v>10.5</c:v>
                </c:pt>
              </c:numCache>
            </c:numRef>
          </c:xVal>
          <c:yVal>
            <c:numRef>
              <c:f>'B values'!$K$57:$K$62</c:f>
              <c:numCache>
                <c:formatCode>0.00</c:formatCode>
                <c:ptCount val="6"/>
                <c:pt idx="0">
                  <c:v>8.652983039705223</c:v>
                </c:pt>
                <c:pt idx="1">
                  <c:v>10.09924116661554</c:v>
                </c:pt>
                <c:pt idx="2">
                  <c:v>5.8962848932492804</c:v>
                </c:pt>
                <c:pt idx="3">
                  <c:v>4.1605657631880586</c:v>
                </c:pt>
                <c:pt idx="4">
                  <c:v>2.0938035535870854</c:v>
                </c:pt>
                <c:pt idx="5">
                  <c:v>1.5891061275481069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69-4BAE-A444-5E4847BF6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879024"/>
        <c:axId val="522919008"/>
      </c:scatterChart>
      <c:valAx>
        <c:axId val="728879024"/>
        <c:scaling>
          <c:orientation val="minMax"/>
          <c:max val="12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19008"/>
        <c:crosses val="autoZero"/>
        <c:crossBetween val="midCat"/>
      </c:valAx>
      <c:valAx>
        <c:axId val="52291900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7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 values'!$L$11:$L$16</c:f>
                <c:numCache>
                  <c:formatCode>General</c:formatCode>
                  <c:ptCount val="6"/>
                  <c:pt idx="0">
                    <c:v>3.2584409855548149</c:v>
                  </c:pt>
                  <c:pt idx="1">
                    <c:v>7.3649557281996545</c:v>
                  </c:pt>
                  <c:pt idx="2">
                    <c:v>10.028684340866379</c:v>
                  </c:pt>
                  <c:pt idx="3">
                    <c:v>2.090414635070394</c:v>
                  </c:pt>
                  <c:pt idx="4">
                    <c:v>0.26935110893435837</c:v>
                  </c:pt>
                  <c:pt idx="5">
                    <c:v>0.21769644860819187</c:v>
                  </c:pt>
                </c:numCache>
              </c:numRef>
            </c:plus>
            <c:minus>
              <c:numRef>
                <c:f>'B values'!$L$11:$L$16</c:f>
                <c:numCache>
                  <c:formatCode>General</c:formatCode>
                  <c:ptCount val="6"/>
                  <c:pt idx="0">
                    <c:v>3.2584409855548149</c:v>
                  </c:pt>
                  <c:pt idx="1">
                    <c:v>7.3649557281996545</c:v>
                  </c:pt>
                  <c:pt idx="2">
                    <c:v>10.028684340866379</c:v>
                  </c:pt>
                  <c:pt idx="3">
                    <c:v>2.090414635070394</c:v>
                  </c:pt>
                  <c:pt idx="4">
                    <c:v>0.26935110893435837</c:v>
                  </c:pt>
                  <c:pt idx="5">
                    <c:v>0.21769644860819187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 values'!$A$11:$A$16</c:f>
              <c:numCache>
                <c:formatCode>General</c:formatCode>
                <c:ptCount val="6"/>
                <c:pt idx="0">
                  <c:v>3.46</c:v>
                </c:pt>
                <c:pt idx="1">
                  <c:v>5.01</c:v>
                </c:pt>
                <c:pt idx="2">
                  <c:v>6.86</c:v>
                </c:pt>
                <c:pt idx="3">
                  <c:v>8.5</c:v>
                </c:pt>
                <c:pt idx="4">
                  <c:v>9.9700000000000006</c:v>
                </c:pt>
                <c:pt idx="5">
                  <c:v>10.52</c:v>
                </c:pt>
              </c:numCache>
            </c:numRef>
          </c:xVal>
          <c:yVal>
            <c:numRef>
              <c:f>'B values'!$K$11:$K$16</c:f>
              <c:numCache>
                <c:formatCode>0.00</c:formatCode>
                <c:ptCount val="6"/>
                <c:pt idx="0">
                  <c:v>24.98138088925365</c:v>
                </c:pt>
                <c:pt idx="1">
                  <c:v>63.338619262517199</c:v>
                </c:pt>
                <c:pt idx="2">
                  <c:v>43.971923648414212</c:v>
                </c:pt>
                <c:pt idx="3">
                  <c:v>21.874224960286792</c:v>
                </c:pt>
                <c:pt idx="4">
                  <c:v>5.5094545009300653</c:v>
                </c:pt>
                <c:pt idx="5">
                  <c:v>5.1376361871533307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C0-4D9D-8B41-65FF62891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34048"/>
        <c:axId val="660748112"/>
      </c:scatterChart>
      <c:valAx>
        <c:axId val="657134048"/>
        <c:scaling>
          <c:orientation val="minMax"/>
          <c:max val="12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48112"/>
        <c:crosses val="autoZero"/>
        <c:crossBetween val="midCat"/>
      </c:valAx>
      <c:valAx>
        <c:axId val="660748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3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7566272965879262E-2"/>
                  <c:y val="-0.73574001166520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 values'!$M$5:$M$8</c:f>
              <c:numCache>
                <c:formatCode>General</c:formatCode>
                <c:ptCount val="4"/>
                <c:pt idx="0">
                  <c:v>0</c:v>
                </c:pt>
                <c:pt idx="1">
                  <c:v>6.28065003688969E-2</c:v>
                </c:pt>
                <c:pt idx="2">
                  <c:v>0.19869389709554328</c:v>
                </c:pt>
                <c:pt idx="3">
                  <c:v>0.25604903337737683</c:v>
                </c:pt>
              </c:numCache>
            </c:numRef>
          </c:xVal>
          <c:yVal>
            <c:numRef>
              <c:f>'B values'!$N$5:$N$8</c:f>
              <c:numCache>
                <c:formatCode>General</c:formatCode>
                <c:ptCount val="4"/>
                <c:pt idx="0">
                  <c:v>1</c:v>
                </c:pt>
                <c:pt idx="1">
                  <c:v>0.74620617477760287</c:v>
                </c:pt>
                <c:pt idx="2">
                  <c:v>0.11524526346793271</c:v>
                </c:pt>
                <c:pt idx="3">
                  <c:v>7.8423506994935624E-2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9-4740-B7A2-3A14F2B5749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2433727034120733E-2"/>
                  <c:y val="-0.59504192184310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 values'!$M$23:$M$26</c:f>
              <c:numCache>
                <c:formatCode>General</c:formatCode>
                <c:ptCount val="4"/>
                <c:pt idx="0">
                  <c:v>0</c:v>
                </c:pt>
                <c:pt idx="1">
                  <c:v>7.2606655016755867E-2</c:v>
                </c:pt>
                <c:pt idx="2">
                  <c:v>0.25964450055712218</c:v>
                </c:pt>
                <c:pt idx="3">
                  <c:v>0.24232378783949327</c:v>
                </c:pt>
              </c:numCache>
            </c:numRef>
          </c:xVal>
          <c:yVal>
            <c:numRef>
              <c:f>'B values'!$N$23:$N$26</c:f>
              <c:numCache>
                <c:formatCode>General</c:formatCode>
                <c:ptCount val="4"/>
                <c:pt idx="0">
                  <c:v>1</c:v>
                </c:pt>
                <c:pt idx="1">
                  <c:v>0.4746542258664973</c:v>
                </c:pt>
                <c:pt idx="2">
                  <c:v>0.22306653068018045</c:v>
                </c:pt>
                <c:pt idx="3">
                  <c:v>0.18728341646135047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49-4740-B7A2-3A14F2B5749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7946412948381449E-2"/>
                  <c:y val="-0.481910542432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 values'!$M$41:$M$44</c:f>
              <c:numCache>
                <c:formatCode>General</c:formatCode>
                <c:ptCount val="4"/>
                <c:pt idx="0">
                  <c:v>0</c:v>
                </c:pt>
                <c:pt idx="1">
                  <c:v>7.4916865874369382E-2</c:v>
                </c:pt>
                <c:pt idx="2">
                  <c:v>0.19397893866703578</c:v>
                </c:pt>
                <c:pt idx="3">
                  <c:v>0.25473900828731177</c:v>
                </c:pt>
              </c:numCache>
            </c:numRef>
          </c:xVal>
          <c:yVal>
            <c:numRef>
              <c:f>'B values'!$N$41:$N$44</c:f>
              <c:numCache>
                <c:formatCode>General</c:formatCode>
                <c:ptCount val="4"/>
                <c:pt idx="0">
                  <c:v>1</c:v>
                </c:pt>
                <c:pt idx="1">
                  <c:v>0.49991219125697228</c:v>
                </c:pt>
                <c:pt idx="2">
                  <c:v>0.27087995420731564</c:v>
                </c:pt>
                <c:pt idx="3">
                  <c:v>0.21105307054124067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49-4740-B7A2-3A14F2B5749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9100393700787396E-2"/>
                  <c:y val="-0.4507301691455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 values'!$M$59:$M$62</c:f>
              <c:numCache>
                <c:formatCode>General</c:formatCode>
                <c:ptCount val="4"/>
                <c:pt idx="0">
                  <c:v>0</c:v>
                </c:pt>
                <c:pt idx="1">
                  <c:v>5.8311606016155849E-2</c:v>
                </c:pt>
                <c:pt idx="2">
                  <c:v>0.13569091753408899</c:v>
                </c:pt>
                <c:pt idx="3">
                  <c:v>0.20962674642714324</c:v>
                </c:pt>
              </c:numCache>
            </c:numRef>
          </c:xVal>
          <c:yVal>
            <c:numRef>
              <c:f>'B values'!$N$59:$N$62</c:f>
              <c:numCache>
                <c:formatCode>General</c:formatCode>
                <c:ptCount val="4"/>
                <c:pt idx="0">
                  <c:v>1</c:v>
                </c:pt>
                <c:pt idx="1">
                  <c:v>0.7056249551224254</c:v>
                </c:pt>
                <c:pt idx="2">
                  <c:v>0.35510556078867617</c:v>
                </c:pt>
                <c:pt idx="3">
                  <c:v>0.26950972626297137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49-4740-B7A2-3A14F2B57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217167"/>
        <c:axId val="467435599"/>
      </c:scatterChart>
      <c:valAx>
        <c:axId val="80721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35599"/>
        <c:crosses val="autoZero"/>
        <c:crossBetween val="midCat"/>
      </c:valAx>
      <c:valAx>
        <c:axId val="4674355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21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7566272965879262E-2"/>
                  <c:y val="-0.73574001166520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 values'!$M$13:$M$16</c:f>
              <c:numCache>
                <c:formatCode>General</c:formatCode>
                <c:ptCount val="4"/>
                <c:pt idx="0">
                  <c:v>0</c:v>
                </c:pt>
                <c:pt idx="1">
                  <c:v>6.28065003688969E-2</c:v>
                </c:pt>
                <c:pt idx="2">
                  <c:v>0.25604903337737683</c:v>
                </c:pt>
                <c:pt idx="3">
                  <c:v>0.19869389709554328</c:v>
                </c:pt>
              </c:numCache>
            </c:numRef>
          </c:xVal>
          <c:yVal>
            <c:numRef>
              <c:f>'B values'!$N$13:$N$16</c:f>
              <c:numCache>
                <c:formatCode>General</c:formatCode>
                <c:ptCount val="4"/>
                <c:pt idx="0">
                  <c:v>1</c:v>
                </c:pt>
                <c:pt idx="1">
                  <c:v>0.4974589043496544</c:v>
                </c:pt>
                <c:pt idx="2">
                  <c:v>0.12529482551143192</c:v>
                </c:pt>
                <c:pt idx="3">
                  <c:v>0.11683901364498554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09-4698-AD5C-E57729F87E7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2433727034120733E-2"/>
                  <c:y val="-0.59504192184310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 values'!$M$31:$M$34</c:f>
              <c:numCache>
                <c:formatCode>General</c:formatCode>
                <c:ptCount val="4"/>
                <c:pt idx="0">
                  <c:v>0</c:v>
                </c:pt>
                <c:pt idx="1">
                  <c:v>7.2606655016755867E-2</c:v>
                </c:pt>
                <c:pt idx="2">
                  <c:v>0.25964450055712218</c:v>
                </c:pt>
                <c:pt idx="3">
                  <c:v>0.24232378783949327</c:v>
                </c:pt>
              </c:numCache>
            </c:numRef>
          </c:xVal>
          <c:yVal>
            <c:numRef>
              <c:f>'B values'!$N$31:$N$34</c:f>
              <c:numCache>
                <c:formatCode>General</c:formatCode>
                <c:ptCount val="4"/>
                <c:pt idx="0">
                  <c:v>1</c:v>
                </c:pt>
                <c:pt idx="1">
                  <c:v>0.38168595440348796</c:v>
                </c:pt>
                <c:pt idx="2">
                  <c:v>0.2860010824262999</c:v>
                </c:pt>
                <c:pt idx="3">
                  <c:v>0.25881707149718652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09-4698-AD5C-E57729F87E7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0724190726159231E-2"/>
                  <c:y val="-0.580787401574803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 values'!$M$49:$M$52</c:f>
              <c:numCache>
                <c:formatCode>General</c:formatCode>
                <c:ptCount val="4"/>
                <c:pt idx="0">
                  <c:v>0</c:v>
                </c:pt>
                <c:pt idx="1">
                  <c:v>7.4916865874369382E-2</c:v>
                </c:pt>
                <c:pt idx="2">
                  <c:v>0.19397893866703578</c:v>
                </c:pt>
                <c:pt idx="3">
                  <c:v>0.25473900828731177</c:v>
                </c:pt>
              </c:numCache>
            </c:numRef>
          </c:xVal>
          <c:yVal>
            <c:numRef>
              <c:f>'B values'!$N$49:$N$52</c:f>
              <c:numCache>
                <c:formatCode>General</c:formatCode>
                <c:ptCount val="4"/>
                <c:pt idx="0">
                  <c:v>1</c:v>
                </c:pt>
                <c:pt idx="1">
                  <c:v>0.3638118124018509</c:v>
                </c:pt>
                <c:pt idx="2">
                  <c:v>0.24967936564475463</c:v>
                </c:pt>
                <c:pt idx="3">
                  <c:v>0.1753278006008416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09-4698-AD5C-E57729F87E7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8720034995625554E-2"/>
                  <c:y val="-0.53408501020705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 values'!$M$67:$M$70</c:f>
              <c:numCache>
                <c:formatCode>General</c:formatCode>
                <c:ptCount val="4"/>
                <c:pt idx="0">
                  <c:v>0</c:v>
                </c:pt>
                <c:pt idx="1">
                  <c:v>5.8311606016155849E-2</c:v>
                </c:pt>
                <c:pt idx="2">
                  <c:v>0.13569091753408899</c:v>
                </c:pt>
                <c:pt idx="3">
                  <c:v>0.20962674642714324</c:v>
                </c:pt>
              </c:numCache>
            </c:numRef>
          </c:xVal>
          <c:yVal>
            <c:numRef>
              <c:f>'B values'!$N$67:$N$70</c:f>
              <c:numCache>
                <c:formatCode>General</c:formatCode>
                <c:ptCount val="4"/>
                <c:pt idx="0">
                  <c:v>1</c:v>
                </c:pt>
                <c:pt idx="1">
                  <c:v>0.56638685945574385</c:v>
                </c:pt>
                <c:pt idx="2">
                  <c:v>0.29515135254394964</c:v>
                </c:pt>
                <c:pt idx="3">
                  <c:v>0.20846251123795545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09-4698-AD5C-E57729F87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217167"/>
        <c:axId val="467435599"/>
      </c:scatterChart>
      <c:valAx>
        <c:axId val="80721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35599"/>
        <c:crosses val="autoZero"/>
        <c:crossBetween val="midCat"/>
      </c:valAx>
      <c:valAx>
        <c:axId val="467435599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21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042432195975505E-2"/>
                  <c:y val="-6.91123505395158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 values'!$T$30:$T$32</c:f>
              <c:numCache>
                <c:formatCode>General</c:formatCode>
                <c:ptCount val="3"/>
                <c:pt idx="0">
                  <c:v>25.4</c:v>
                </c:pt>
                <c:pt idx="1">
                  <c:v>56.4</c:v>
                </c:pt>
                <c:pt idx="2">
                  <c:v>111.5</c:v>
                </c:pt>
              </c:numCache>
            </c:numRef>
          </c:xVal>
          <c:yVal>
            <c:numRef>
              <c:f>'B values'!$U$30:$U$32</c:f>
              <c:numCache>
                <c:formatCode>General</c:formatCode>
                <c:ptCount val="3"/>
                <c:pt idx="0">
                  <c:v>2.3448244127658047E-2</c:v>
                </c:pt>
                <c:pt idx="1">
                  <c:v>4.0456351114881405E-2</c:v>
                </c:pt>
                <c:pt idx="2">
                  <c:v>9.9017340362723527E-2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5-4B6D-801B-F33D512E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689992"/>
        <c:axId val="939688024"/>
      </c:scatterChart>
      <c:valAx>
        <c:axId val="93968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688024"/>
        <c:crosses val="autoZero"/>
        <c:crossBetween val="midCat"/>
      </c:valAx>
      <c:valAx>
        <c:axId val="93968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689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"/>
            <c:dispRSqr val="1"/>
            <c:dispEq val="1"/>
            <c:trendlineLbl>
              <c:layout>
                <c:manualLayout>
                  <c:x val="-0.56060104986876635"/>
                  <c:y val="-0.10718576844561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 values'!$M$5:$M$8</c:f>
              <c:numCache>
                <c:formatCode>General</c:formatCode>
                <c:ptCount val="4"/>
                <c:pt idx="0">
                  <c:v>0</c:v>
                </c:pt>
                <c:pt idx="1">
                  <c:v>6.28065003688969E-2</c:v>
                </c:pt>
                <c:pt idx="2">
                  <c:v>0.19869389709554328</c:v>
                </c:pt>
                <c:pt idx="3">
                  <c:v>0.25604903337737683</c:v>
                </c:pt>
              </c:numCache>
            </c:numRef>
          </c:xVal>
          <c:yVal>
            <c:numRef>
              <c:f>'B values'!$P$5:$P$8</c:f>
              <c:numCache>
                <c:formatCode>General</c:formatCode>
                <c:ptCount val="4"/>
                <c:pt idx="0">
                  <c:v>1</c:v>
                </c:pt>
                <c:pt idx="1">
                  <c:v>1.3401122019635352</c:v>
                </c:pt>
                <c:pt idx="2">
                  <c:v>8.6771462002709772</c:v>
                </c:pt>
                <c:pt idx="3">
                  <c:v>12.751278772378507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B-48BF-B4AA-263DE1D8890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1"/>
            <c:dispRSqr val="1"/>
            <c:dispEq val="1"/>
            <c:trendlineLbl>
              <c:layout>
                <c:manualLayout>
                  <c:x val="-0.37123206474190729"/>
                  <c:y val="-0.44583862659625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 values'!$M$23:$M$26</c:f>
              <c:numCache>
                <c:formatCode>General</c:formatCode>
                <c:ptCount val="4"/>
                <c:pt idx="0">
                  <c:v>0</c:v>
                </c:pt>
                <c:pt idx="1">
                  <c:v>7.2606655016755867E-2</c:v>
                </c:pt>
                <c:pt idx="2">
                  <c:v>0.25964450055712218</c:v>
                </c:pt>
                <c:pt idx="3">
                  <c:v>0.24232378783949327</c:v>
                </c:pt>
              </c:numCache>
            </c:numRef>
          </c:xVal>
          <c:yVal>
            <c:numRef>
              <c:f>'B values'!$P$23:$P$26</c:f>
              <c:numCache>
                <c:formatCode>General</c:formatCode>
                <c:ptCount val="4"/>
                <c:pt idx="0">
                  <c:v>1</c:v>
                </c:pt>
                <c:pt idx="1">
                  <c:v>2.1067967912314827</c:v>
                </c:pt>
                <c:pt idx="2">
                  <c:v>4.4829674669291411</c:v>
                </c:pt>
                <c:pt idx="3">
                  <c:v>5.3395010561779728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7B-48BF-B4AA-263DE1D8890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1"/>
            <c:dispRSqr val="1"/>
            <c:dispEq val="1"/>
            <c:trendlineLbl>
              <c:layout>
                <c:manualLayout>
                  <c:x val="-0.15950524934383203"/>
                  <c:y val="-0.45575295529590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 values'!$M$41:$M$44</c:f>
              <c:numCache>
                <c:formatCode>General</c:formatCode>
                <c:ptCount val="4"/>
                <c:pt idx="0">
                  <c:v>0</c:v>
                </c:pt>
                <c:pt idx="1">
                  <c:v>7.4916865874369382E-2</c:v>
                </c:pt>
                <c:pt idx="2">
                  <c:v>0.19397893866703578</c:v>
                </c:pt>
                <c:pt idx="3">
                  <c:v>0.25473900828731177</c:v>
                </c:pt>
              </c:numCache>
            </c:numRef>
          </c:xVal>
          <c:yVal>
            <c:numRef>
              <c:f>'B values'!$P$41:$P$44</c:f>
              <c:numCache>
                <c:formatCode>General</c:formatCode>
                <c:ptCount val="4"/>
                <c:pt idx="0">
                  <c:v>1</c:v>
                </c:pt>
                <c:pt idx="1">
                  <c:v>2.000351296665948</c:v>
                </c:pt>
                <c:pt idx="2">
                  <c:v>3.6916722129783683</c:v>
                </c:pt>
                <c:pt idx="3">
                  <c:v>4.7381447587354373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7B-48BF-B4AA-263DE1D8890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1"/>
            <c:dispRSqr val="1"/>
            <c:dispEq val="1"/>
            <c:trendlineLbl>
              <c:layout>
                <c:manualLayout>
                  <c:x val="0.14610564304461943"/>
                  <c:y val="-0.510558299171745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4.8274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 values'!$M$59:$M$62</c:f>
              <c:numCache>
                <c:formatCode>General</c:formatCode>
                <c:ptCount val="4"/>
                <c:pt idx="0">
                  <c:v>0</c:v>
                </c:pt>
                <c:pt idx="1">
                  <c:v>5.8311606016155849E-2</c:v>
                </c:pt>
                <c:pt idx="2">
                  <c:v>0.13569091753408899</c:v>
                </c:pt>
                <c:pt idx="3">
                  <c:v>0.20962674642714324</c:v>
                </c:pt>
              </c:numCache>
            </c:numRef>
          </c:xVal>
          <c:yVal>
            <c:numRef>
              <c:f>'B values'!$P$59:$P$62</c:f>
              <c:numCache>
                <c:formatCode>General</c:formatCode>
                <c:ptCount val="4"/>
                <c:pt idx="0">
                  <c:v>1</c:v>
                </c:pt>
                <c:pt idx="1">
                  <c:v>1.4171834382281743</c:v>
                </c:pt>
                <c:pt idx="2">
                  <c:v>2.8160640396028644</c:v>
                </c:pt>
                <c:pt idx="3">
                  <c:v>3.7104412292128566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7B-48BF-B4AA-263DE1D88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055672"/>
        <c:axId val="1417048456"/>
      </c:scatterChart>
      <c:valAx>
        <c:axId val="141705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048456"/>
        <c:crosses val="autoZero"/>
        <c:crossBetween val="midCat"/>
      </c:valAx>
      <c:valAx>
        <c:axId val="1417048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05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"/>
            <c:dispRSqr val="1"/>
            <c:dispEq val="1"/>
            <c:trendlineLbl>
              <c:layout>
                <c:manualLayout>
                  <c:x val="-0.53560104986876644"/>
                  <c:y val="-3.81328583628736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 values'!$M$13:$M$16</c:f>
              <c:numCache>
                <c:formatCode>General</c:formatCode>
                <c:ptCount val="4"/>
                <c:pt idx="0">
                  <c:v>0</c:v>
                </c:pt>
                <c:pt idx="1">
                  <c:v>6.28065003688969E-2</c:v>
                </c:pt>
                <c:pt idx="2">
                  <c:v>0.25604903337737683</c:v>
                </c:pt>
                <c:pt idx="3">
                  <c:v>0.19869389709554328</c:v>
                </c:pt>
              </c:numCache>
            </c:numRef>
          </c:xVal>
          <c:yVal>
            <c:numRef>
              <c:f>'B values'!$P$13:$P$16</c:f>
              <c:numCache>
                <c:formatCode>General</c:formatCode>
                <c:ptCount val="4"/>
                <c:pt idx="0">
                  <c:v>1</c:v>
                </c:pt>
                <c:pt idx="1">
                  <c:v>2.0102163038117395</c:v>
                </c:pt>
                <c:pt idx="2">
                  <c:v>7.9811755666538664</c:v>
                </c:pt>
                <c:pt idx="3">
                  <c:v>8.5587850222571404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74-4F9A-8AA8-A1769157EF7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1"/>
            <c:dispRSqr val="1"/>
            <c:dispEq val="1"/>
            <c:trendlineLbl>
              <c:layout>
                <c:manualLayout>
                  <c:x val="-0.3434542869641295"/>
                  <c:y val="-0.379352591707885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 values'!$M$31:$M$34</c:f>
              <c:numCache>
                <c:formatCode>General</c:formatCode>
                <c:ptCount val="4"/>
                <c:pt idx="0">
                  <c:v>0</c:v>
                </c:pt>
                <c:pt idx="1">
                  <c:v>7.2606655016755867E-2</c:v>
                </c:pt>
                <c:pt idx="2">
                  <c:v>0.25964450055712218</c:v>
                </c:pt>
                <c:pt idx="3">
                  <c:v>0.24232378783949327</c:v>
                </c:pt>
              </c:numCache>
            </c:numRef>
          </c:xVal>
          <c:yVal>
            <c:numRef>
              <c:f>'B values'!$P$31:$P$34</c:f>
              <c:numCache>
                <c:formatCode>General</c:formatCode>
                <c:ptCount val="4"/>
                <c:pt idx="0">
                  <c:v>1</c:v>
                </c:pt>
                <c:pt idx="1">
                  <c:v>2.6199549353678333</c:v>
                </c:pt>
                <c:pt idx="2">
                  <c:v>3.4964902633111246</c:v>
                </c:pt>
                <c:pt idx="3">
                  <c:v>3.863732767762464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74-4F9A-8AA8-A1769157EF7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1"/>
            <c:dispRSqr val="1"/>
            <c:dispEq val="1"/>
            <c:trendlineLbl>
              <c:layout>
                <c:manualLayout>
                  <c:x val="5.160586176727909E-2"/>
                  <c:y val="-0.24922662036719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 values'!$M$49:$M$52</c:f>
              <c:numCache>
                <c:formatCode>General</c:formatCode>
                <c:ptCount val="4"/>
                <c:pt idx="0">
                  <c:v>0</c:v>
                </c:pt>
                <c:pt idx="1">
                  <c:v>7.4916865874369382E-2</c:v>
                </c:pt>
                <c:pt idx="2">
                  <c:v>0.19397893866703578</c:v>
                </c:pt>
                <c:pt idx="3">
                  <c:v>0.25473900828731177</c:v>
                </c:pt>
              </c:numCache>
            </c:numRef>
          </c:xVal>
          <c:yVal>
            <c:numRef>
              <c:f>'B values'!$P$49:$P$52</c:f>
              <c:numCache>
                <c:formatCode>General</c:formatCode>
                <c:ptCount val="4"/>
                <c:pt idx="0">
                  <c:v>1</c:v>
                </c:pt>
                <c:pt idx="1">
                  <c:v>2.7486738085772844</c:v>
                </c:pt>
                <c:pt idx="2">
                  <c:v>4.0051367377423022</c:v>
                </c:pt>
                <c:pt idx="3">
                  <c:v>5.7036020332944268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74-4F9A-8AA8-A1769157EF7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1"/>
            <c:dispRSqr val="1"/>
            <c:dispEq val="1"/>
            <c:trendlineLbl>
              <c:layout>
                <c:manualLayout>
                  <c:x val="-1.2227690288713912E-2"/>
                  <c:y val="-0.3153306761611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 values'!$M$67:$M$70</c:f>
              <c:numCache>
                <c:formatCode>General</c:formatCode>
                <c:ptCount val="4"/>
                <c:pt idx="0">
                  <c:v>0</c:v>
                </c:pt>
                <c:pt idx="1">
                  <c:v>5.8311606016155849E-2</c:v>
                </c:pt>
                <c:pt idx="2">
                  <c:v>0.13569091753408899</c:v>
                </c:pt>
                <c:pt idx="3">
                  <c:v>0.20962674642714324</c:v>
                </c:pt>
              </c:numCache>
            </c:numRef>
          </c:xVal>
          <c:yVal>
            <c:numRef>
              <c:f>'B values'!$P$67:$P$70</c:f>
              <c:numCache>
                <c:formatCode>General</c:formatCode>
                <c:ptCount val="4"/>
                <c:pt idx="0">
                  <c:v>1</c:v>
                </c:pt>
                <c:pt idx="1">
                  <c:v>1.7655776847664271</c:v>
                </c:pt>
                <c:pt idx="2">
                  <c:v>3.3880922156746496</c:v>
                </c:pt>
                <c:pt idx="3">
                  <c:v>4.7970255853750201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74-4F9A-8AA8-A1769157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055672"/>
        <c:axId val="1417048456"/>
      </c:scatterChart>
      <c:valAx>
        <c:axId val="141705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048456"/>
        <c:crosses val="autoZero"/>
        <c:crossBetween val="midCat"/>
      </c:valAx>
      <c:valAx>
        <c:axId val="1417048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05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mM NaCl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'PIP Layers NaCl'!$AD$5:$AD$10</c:f>
                <c:numCache>
                  <c:formatCode>General</c:formatCode>
                  <c:ptCount val="6"/>
                  <c:pt idx="0">
                    <c:v>4.2682769315313029</c:v>
                  </c:pt>
                  <c:pt idx="1">
                    <c:v>2.3191132034996316</c:v>
                  </c:pt>
                  <c:pt idx="2">
                    <c:v>1.7122032717377078</c:v>
                  </c:pt>
                  <c:pt idx="3">
                    <c:v>2.7386399045251202</c:v>
                  </c:pt>
                  <c:pt idx="4">
                    <c:v>0.59112111375150889</c:v>
                  </c:pt>
                  <c:pt idx="5">
                    <c:v>2.0428391191712305</c:v>
                  </c:pt>
                </c:numCache>
              </c:numRef>
            </c:plus>
            <c:minus>
              <c:numRef>
                <c:f>'PIP Layers NaCl'!$AD$5:$AD$10</c:f>
                <c:numCache>
                  <c:formatCode>General</c:formatCode>
                  <c:ptCount val="6"/>
                  <c:pt idx="0">
                    <c:v>4.2682769315313029</c:v>
                  </c:pt>
                  <c:pt idx="1">
                    <c:v>2.3191132034996316</c:v>
                  </c:pt>
                  <c:pt idx="2">
                    <c:v>1.7122032717377078</c:v>
                  </c:pt>
                  <c:pt idx="3">
                    <c:v>2.7386399045251202</c:v>
                  </c:pt>
                  <c:pt idx="4">
                    <c:v>0.59112111375150889</c:v>
                  </c:pt>
                  <c:pt idx="5">
                    <c:v>2.0428391191712305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'PIP Layers NaCl'!$AB$5:$AB$10</c:f>
              <c:numCache>
                <c:formatCode>General</c:formatCode>
                <c:ptCount val="6"/>
                <c:pt idx="0">
                  <c:v>3.47</c:v>
                </c:pt>
                <c:pt idx="1">
                  <c:v>5.15</c:v>
                </c:pt>
                <c:pt idx="2">
                  <c:v>6.5</c:v>
                </c:pt>
                <c:pt idx="3">
                  <c:v>8.9</c:v>
                </c:pt>
                <c:pt idx="4">
                  <c:v>10</c:v>
                </c:pt>
                <c:pt idx="5">
                  <c:v>10.5</c:v>
                </c:pt>
              </c:numCache>
            </c:numRef>
          </c:xVal>
          <c:yVal>
            <c:numRef>
              <c:f>'PIP Layers NaCl'!$AC$5:$AC$10</c:f>
              <c:numCache>
                <c:formatCode>0.00</c:formatCode>
                <c:ptCount val="6"/>
                <c:pt idx="0">
                  <c:v>51.116838487972508</c:v>
                </c:pt>
                <c:pt idx="1">
                  <c:v>47.255880256593009</c:v>
                </c:pt>
                <c:pt idx="2">
                  <c:v>60.545872179435207</c:v>
                </c:pt>
                <c:pt idx="3">
                  <c:v>68.501895072810697</c:v>
                </c:pt>
                <c:pt idx="4">
                  <c:v>81.208309510196287</c:v>
                </c:pt>
                <c:pt idx="5">
                  <c:v>85.061254342658614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7A-44AF-AC08-5CF45E7BA58B}"/>
            </c:ext>
          </c:extLst>
        </c:ser>
        <c:ser>
          <c:idx val="1"/>
          <c:order val="1"/>
          <c:tx>
            <c:v>2L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'PIP Layers NaCl'!$AG$5:$AG$10</c:f>
                <c:numCache>
                  <c:formatCode>General</c:formatCode>
                  <c:ptCount val="6"/>
                  <c:pt idx="0">
                    <c:v>4.5328960682839901</c:v>
                  </c:pt>
                  <c:pt idx="1">
                    <c:v>3.9148364985098372</c:v>
                  </c:pt>
                  <c:pt idx="2">
                    <c:v>5.5954890785754738</c:v>
                  </c:pt>
                  <c:pt idx="3">
                    <c:v>5.0770834651993333</c:v>
                  </c:pt>
                  <c:pt idx="4">
                    <c:v>4.7885330842091731</c:v>
                  </c:pt>
                  <c:pt idx="5">
                    <c:v>5.4615894772677187</c:v>
                  </c:pt>
                </c:numCache>
              </c:numRef>
            </c:plus>
            <c:minus>
              <c:numRef>
                <c:f>'PIP Layers NaCl'!$AG$5:$AG$10</c:f>
                <c:numCache>
                  <c:formatCode>General</c:formatCode>
                  <c:ptCount val="6"/>
                  <c:pt idx="0">
                    <c:v>4.5328960682839901</c:v>
                  </c:pt>
                  <c:pt idx="1">
                    <c:v>3.9148364985098372</c:v>
                  </c:pt>
                  <c:pt idx="2">
                    <c:v>5.5954890785754738</c:v>
                  </c:pt>
                  <c:pt idx="3">
                    <c:v>5.0770834651993333</c:v>
                  </c:pt>
                  <c:pt idx="4">
                    <c:v>4.7885330842091731</c:v>
                  </c:pt>
                  <c:pt idx="5">
                    <c:v>5.4615894772677187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'PIP Layers NaCl'!$AE$5:$AE$10</c:f>
              <c:numCache>
                <c:formatCode>General</c:formatCode>
                <c:ptCount val="6"/>
                <c:pt idx="0">
                  <c:v>3.5</c:v>
                </c:pt>
                <c:pt idx="1">
                  <c:v>5.18</c:v>
                </c:pt>
                <c:pt idx="2">
                  <c:v>6.78</c:v>
                </c:pt>
                <c:pt idx="3">
                  <c:v>8.89</c:v>
                </c:pt>
                <c:pt idx="4">
                  <c:v>9.9600000000000009</c:v>
                </c:pt>
                <c:pt idx="5">
                  <c:v>10.5</c:v>
                </c:pt>
              </c:numCache>
            </c:numRef>
          </c:xVal>
          <c:yVal>
            <c:numRef>
              <c:f>'PIP Layers NaCl'!$AF$5:$AF$10</c:f>
              <c:numCache>
                <c:formatCode>0.00</c:formatCode>
                <c:ptCount val="6"/>
                <c:pt idx="0">
                  <c:v>35.183044315992298</c:v>
                </c:pt>
                <c:pt idx="1">
                  <c:v>26.796998420221161</c:v>
                </c:pt>
                <c:pt idx="2">
                  <c:v>48.951333740582378</c:v>
                </c:pt>
                <c:pt idx="3">
                  <c:v>65.731912507010648</c:v>
                </c:pt>
                <c:pt idx="4">
                  <c:v>77.973568281938327</c:v>
                </c:pt>
                <c:pt idx="5">
                  <c:v>81.960784313725483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7A-44AF-AC08-5CF45E7BA58B}"/>
            </c:ext>
          </c:extLst>
        </c:ser>
        <c:ser>
          <c:idx val="2"/>
          <c:order val="2"/>
          <c:tx>
            <c:v>1L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'PIP Layers NaCl'!$AG$5:$AG$10</c:f>
                <c:numCache>
                  <c:formatCode>General</c:formatCode>
                  <c:ptCount val="6"/>
                  <c:pt idx="0">
                    <c:v>4.5328960682839901</c:v>
                  </c:pt>
                  <c:pt idx="1">
                    <c:v>3.9148364985098372</c:v>
                  </c:pt>
                  <c:pt idx="2">
                    <c:v>5.5954890785754738</c:v>
                  </c:pt>
                  <c:pt idx="3">
                    <c:v>5.0770834651993333</c:v>
                  </c:pt>
                  <c:pt idx="4">
                    <c:v>4.7885330842091731</c:v>
                  </c:pt>
                  <c:pt idx="5">
                    <c:v>5.4615894772677187</c:v>
                  </c:pt>
                </c:numCache>
              </c:numRef>
            </c:plus>
            <c:minus>
              <c:numRef>
                <c:f>'PIP Layers NaCl'!$AG$5:$AG$10</c:f>
                <c:numCache>
                  <c:formatCode>General</c:formatCode>
                  <c:ptCount val="6"/>
                  <c:pt idx="0">
                    <c:v>4.5328960682839901</c:v>
                  </c:pt>
                  <c:pt idx="1">
                    <c:v>3.9148364985098372</c:v>
                  </c:pt>
                  <c:pt idx="2">
                    <c:v>5.5954890785754738</c:v>
                  </c:pt>
                  <c:pt idx="3">
                    <c:v>5.0770834651993333</c:v>
                  </c:pt>
                  <c:pt idx="4">
                    <c:v>4.7885330842091731</c:v>
                  </c:pt>
                  <c:pt idx="5">
                    <c:v>5.4615894772677187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'PIP Layers NaCl'!$AH$5:$AH$10</c:f>
              <c:numCache>
                <c:formatCode>General</c:formatCode>
                <c:ptCount val="6"/>
                <c:pt idx="0">
                  <c:v>3.5</c:v>
                </c:pt>
                <c:pt idx="1">
                  <c:v>4.9000000000000004</c:v>
                </c:pt>
                <c:pt idx="2">
                  <c:v>6.25</c:v>
                </c:pt>
                <c:pt idx="3">
                  <c:v>8.6</c:v>
                </c:pt>
                <c:pt idx="4">
                  <c:v>9.9</c:v>
                </c:pt>
                <c:pt idx="5">
                  <c:v>10.49</c:v>
                </c:pt>
              </c:numCache>
            </c:numRef>
          </c:xVal>
          <c:yVal>
            <c:numRef>
              <c:f>'PIP Layers NaCl'!$AI$5:$AI$10</c:f>
              <c:numCache>
                <c:formatCode>0.00</c:formatCode>
                <c:ptCount val="6"/>
                <c:pt idx="0">
                  <c:v>34.005037783375322</c:v>
                </c:pt>
                <c:pt idx="1">
                  <c:v>17.503217503217499</c:v>
                </c:pt>
                <c:pt idx="2">
                  <c:v>36.609336609336616</c:v>
                </c:pt>
                <c:pt idx="3">
                  <c:v>54.888221554888219</c:v>
                </c:pt>
                <c:pt idx="4">
                  <c:v>72.13709013016971</c:v>
                </c:pt>
                <c:pt idx="5">
                  <c:v>75.512195121951223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5E-45AA-8165-B8DF5EF2D43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'PIP Layers NaCl'!$AK$5:$AK$10</c:f>
              <c:numCache>
                <c:formatCode>General</c:formatCode>
                <c:ptCount val="6"/>
                <c:pt idx="0">
                  <c:v>3.53</c:v>
                </c:pt>
                <c:pt idx="1">
                  <c:v>4.9400000000000004</c:v>
                </c:pt>
                <c:pt idx="2">
                  <c:v>6.63</c:v>
                </c:pt>
                <c:pt idx="3">
                  <c:v>8.85</c:v>
                </c:pt>
                <c:pt idx="4">
                  <c:v>9.98</c:v>
                </c:pt>
                <c:pt idx="5">
                  <c:v>10.44</c:v>
                </c:pt>
              </c:numCache>
            </c:numRef>
          </c:xVal>
          <c:yVal>
            <c:numRef>
              <c:f>'PIP Layers NaCl'!$AL$5:$AL$10</c:f>
              <c:numCache>
                <c:formatCode>0.00</c:formatCode>
                <c:ptCount val="6"/>
                <c:pt idx="0">
                  <c:v>32.936507936507944</c:v>
                </c:pt>
                <c:pt idx="1">
                  <c:v>15.87982832618026</c:v>
                </c:pt>
                <c:pt idx="2">
                  <c:v>38.49372384937238</c:v>
                </c:pt>
                <c:pt idx="3">
                  <c:v>45.614035087719301</c:v>
                </c:pt>
                <c:pt idx="4">
                  <c:v>84.449339207048467</c:v>
                </c:pt>
                <c:pt idx="5">
                  <c:v>88.864628820960689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0-483A-90DB-DD236201F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61968"/>
        <c:axId val="620768200"/>
      </c:scatterChart>
      <c:valAx>
        <c:axId val="620761968"/>
        <c:scaling>
          <c:orientation val="minMax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68200"/>
        <c:crosses val="autoZero"/>
        <c:crossBetween val="midCat"/>
      </c:valAx>
      <c:valAx>
        <c:axId val="620768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Rejection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6196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mM NaCl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'PIP Layers NaCl'!$AD$78:$AD$83</c:f>
                <c:numCache>
                  <c:formatCode>General</c:formatCode>
                  <c:ptCount val="6"/>
                  <c:pt idx="0">
                    <c:v>8.6190323083039894E-2</c:v>
                  </c:pt>
                  <c:pt idx="1">
                    <c:v>2.1145038496514013</c:v>
                  </c:pt>
                  <c:pt idx="2">
                    <c:v>2.1514705431003391</c:v>
                  </c:pt>
                  <c:pt idx="3">
                    <c:v>6.1210646933047581</c:v>
                  </c:pt>
                  <c:pt idx="4">
                    <c:v>6.4822531573985387</c:v>
                  </c:pt>
                  <c:pt idx="5">
                    <c:v>6.9933224552141713</c:v>
                  </c:pt>
                </c:numCache>
              </c:numRef>
            </c:plus>
            <c:minus>
              <c:numRef>
                <c:f>'PIP Layers NaCl'!$AD$78:$AD$83</c:f>
                <c:numCache>
                  <c:formatCode>General</c:formatCode>
                  <c:ptCount val="6"/>
                  <c:pt idx="0">
                    <c:v>8.6190323083039894E-2</c:v>
                  </c:pt>
                  <c:pt idx="1">
                    <c:v>2.1145038496514013</c:v>
                  </c:pt>
                  <c:pt idx="2">
                    <c:v>2.1514705431003391</c:v>
                  </c:pt>
                  <c:pt idx="3">
                    <c:v>6.1210646933047581</c:v>
                  </c:pt>
                  <c:pt idx="4">
                    <c:v>6.4822531573985387</c:v>
                  </c:pt>
                  <c:pt idx="5">
                    <c:v>6.9933224552141713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'PIP Layers NaCl'!$AB$78:$AB$83</c:f>
              <c:numCache>
                <c:formatCode>General</c:formatCode>
                <c:ptCount val="6"/>
                <c:pt idx="0">
                  <c:v>3.48</c:v>
                </c:pt>
                <c:pt idx="1">
                  <c:v>5.2</c:v>
                </c:pt>
                <c:pt idx="2">
                  <c:v>6.7</c:v>
                </c:pt>
                <c:pt idx="3">
                  <c:v>8.9</c:v>
                </c:pt>
                <c:pt idx="4">
                  <c:v>9.9</c:v>
                </c:pt>
                <c:pt idx="5">
                  <c:v>10.43</c:v>
                </c:pt>
              </c:numCache>
            </c:numRef>
          </c:xVal>
          <c:yVal>
            <c:numRef>
              <c:f>'PIP Layers NaCl'!$AC$78:$AC$83</c:f>
              <c:numCache>
                <c:formatCode>0.00</c:formatCode>
                <c:ptCount val="6"/>
                <c:pt idx="0">
                  <c:v>63.624070317782277</c:v>
                </c:pt>
                <c:pt idx="1">
                  <c:v>40.041493775933617</c:v>
                </c:pt>
                <c:pt idx="2">
                  <c:v>41.817554750819099</c:v>
                </c:pt>
                <c:pt idx="3">
                  <c:v>55.927260250471782</c:v>
                </c:pt>
                <c:pt idx="4">
                  <c:v>70.88900766078747</c:v>
                </c:pt>
                <c:pt idx="5">
                  <c:v>77.516839614054263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E-4CF6-BC37-0C7BEE6C31D6}"/>
            </c:ext>
          </c:extLst>
        </c:ser>
        <c:ser>
          <c:idx val="1"/>
          <c:order val="1"/>
          <c:tx>
            <c:v>2L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'PIP Layers NaCl'!$AG$78:$AG$83</c:f>
                <c:numCache>
                  <c:formatCode>General</c:formatCode>
                  <c:ptCount val="6"/>
                  <c:pt idx="0">
                    <c:v>6.0511899724693379</c:v>
                  </c:pt>
                  <c:pt idx="1">
                    <c:v>2.7959595375190589</c:v>
                  </c:pt>
                  <c:pt idx="2">
                    <c:v>4.7020109787241466</c:v>
                  </c:pt>
                  <c:pt idx="3">
                    <c:v>6.9687821806811199</c:v>
                  </c:pt>
                  <c:pt idx="4">
                    <c:v>7.3574071154346443</c:v>
                  </c:pt>
                  <c:pt idx="5">
                    <c:v>9.4720459160245003</c:v>
                  </c:pt>
                </c:numCache>
              </c:numRef>
            </c:plus>
            <c:minus>
              <c:numRef>
                <c:f>'PIP Layers NaCl'!$AG$78:$AG$83</c:f>
                <c:numCache>
                  <c:formatCode>General</c:formatCode>
                  <c:ptCount val="6"/>
                  <c:pt idx="0">
                    <c:v>6.0511899724693379</c:v>
                  </c:pt>
                  <c:pt idx="1">
                    <c:v>2.7959595375190589</c:v>
                  </c:pt>
                  <c:pt idx="2">
                    <c:v>4.7020109787241466</c:v>
                  </c:pt>
                  <c:pt idx="3">
                    <c:v>6.9687821806811199</c:v>
                  </c:pt>
                  <c:pt idx="4">
                    <c:v>7.3574071154346443</c:v>
                  </c:pt>
                  <c:pt idx="5">
                    <c:v>9.4720459160245003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'PIP Layers NaCl'!$AE$78:$AE$83</c:f>
              <c:numCache>
                <c:formatCode>General</c:formatCode>
                <c:ptCount val="6"/>
                <c:pt idx="0">
                  <c:v>3.51</c:v>
                </c:pt>
                <c:pt idx="1">
                  <c:v>5.09</c:v>
                </c:pt>
                <c:pt idx="2">
                  <c:v>6.4</c:v>
                </c:pt>
                <c:pt idx="3">
                  <c:v>8.9</c:v>
                </c:pt>
                <c:pt idx="4">
                  <c:v>10</c:v>
                </c:pt>
                <c:pt idx="5">
                  <c:v>10.52</c:v>
                </c:pt>
              </c:numCache>
            </c:numRef>
          </c:xVal>
          <c:yVal>
            <c:numRef>
              <c:f>'PIP Layers NaCl'!$AF$78:$AF$83</c:f>
              <c:numCache>
                <c:formatCode>0.00</c:formatCode>
                <c:ptCount val="6"/>
                <c:pt idx="0">
                  <c:v>37.287847929395802</c:v>
                </c:pt>
                <c:pt idx="1">
                  <c:v>14.126330243734985</c:v>
                </c:pt>
                <c:pt idx="2">
                  <c:v>19.317394317394314</c:v>
                </c:pt>
                <c:pt idx="3">
                  <c:v>39.690003483106928</c:v>
                </c:pt>
                <c:pt idx="4">
                  <c:v>48.951670220326946</c:v>
                </c:pt>
                <c:pt idx="5">
                  <c:v>57.727108215707567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0E-4CF6-BC37-0C7BEE6C31D6}"/>
            </c:ext>
          </c:extLst>
        </c:ser>
        <c:ser>
          <c:idx val="2"/>
          <c:order val="2"/>
          <c:tx>
            <c:v>1L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'PIP Layers NaCl'!$AJ$78:$AJ$83</c:f>
                <c:numCache>
                  <c:formatCode>General</c:formatCode>
                  <c:ptCount val="6"/>
                  <c:pt idx="0">
                    <c:v>4.8292934917920691</c:v>
                  </c:pt>
                  <c:pt idx="1">
                    <c:v>2.6215500853482285</c:v>
                  </c:pt>
                  <c:pt idx="2">
                    <c:v>3.8456418024125925</c:v>
                  </c:pt>
                  <c:pt idx="3">
                    <c:v>4.8511555895543568</c:v>
                  </c:pt>
                  <c:pt idx="4">
                    <c:v>2.1887625352477182</c:v>
                  </c:pt>
                  <c:pt idx="5">
                    <c:v>8.1581942688226707</c:v>
                  </c:pt>
                </c:numCache>
              </c:numRef>
            </c:plus>
            <c:minus>
              <c:numRef>
                <c:f>'PIP Layers NaCl'!$AJ$78:$AJ$83</c:f>
                <c:numCache>
                  <c:formatCode>General</c:formatCode>
                  <c:ptCount val="6"/>
                  <c:pt idx="0">
                    <c:v>4.8292934917920691</c:v>
                  </c:pt>
                  <c:pt idx="1">
                    <c:v>2.6215500853482285</c:v>
                  </c:pt>
                  <c:pt idx="2">
                    <c:v>3.8456418024125925</c:v>
                  </c:pt>
                  <c:pt idx="3">
                    <c:v>4.8511555895543568</c:v>
                  </c:pt>
                  <c:pt idx="4">
                    <c:v>2.1887625352477182</c:v>
                  </c:pt>
                  <c:pt idx="5">
                    <c:v>8.1581942688226707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'PIP Layers NaCl'!$AH$78:$AH$83</c:f>
              <c:numCache>
                <c:formatCode>General</c:formatCode>
                <c:ptCount val="6"/>
                <c:pt idx="0">
                  <c:v>3.55</c:v>
                </c:pt>
                <c:pt idx="1">
                  <c:v>5.0999999999999996</c:v>
                </c:pt>
                <c:pt idx="2">
                  <c:v>6.85</c:v>
                </c:pt>
                <c:pt idx="3">
                  <c:v>9.0399999999999991</c:v>
                </c:pt>
                <c:pt idx="4">
                  <c:v>10.02</c:v>
                </c:pt>
                <c:pt idx="5">
                  <c:v>10.45</c:v>
                </c:pt>
              </c:numCache>
            </c:numRef>
          </c:xVal>
          <c:yVal>
            <c:numRef>
              <c:f>'PIP Layers NaCl'!$AI$78:$AI$83</c:f>
              <c:numCache>
                <c:formatCode>0.00</c:formatCode>
                <c:ptCount val="6"/>
                <c:pt idx="0">
                  <c:v>27.352510970258418</c:v>
                </c:pt>
                <c:pt idx="1">
                  <c:v>7.8270388615216184</c:v>
                </c:pt>
                <c:pt idx="2">
                  <c:v>19.114219114219114</c:v>
                </c:pt>
                <c:pt idx="3">
                  <c:v>38.238238238238239</c:v>
                </c:pt>
                <c:pt idx="4">
                  <c:v>45.243282498184463</c:v>
                </c:pt>
                <c:pt idx="5">
                  <c:v>47.727272727272727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C-4337-9ACF-A7498C6E234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'PIP Layers NaCl'!$AK$78:$AK$83</c:f>
              <c:numCache>
                <c:formatCode>General</c:formatCode>
                <c:ptCount val="6"/>
                <c:pt idx="0">
                  <c:v>3.46</c:v>
                </c:pt>
                <c:pt idx="1">
                  <c:v>5.01</c:v>
                </c:pt>
                <c:pt idx="2">
                  <c:v>6.86</c:v>
                </c:pt>
                <c:pt idx="3">
                  <c:v>8.5</c:v>
                </c:pt>
                <c:pt idx="4">
                  <c:v>9.9700000000000006</c:v>
                </c:pt>
                <c:pt idx="5">
                  <c:v>10.52</c:v>
                </c:pt>
              </c:numCache>
            </c:numRef>
          </c:xVal>
          <c:yVal>
            <c:numRef>
              <c:f>'PIP Layers NaCl'!$AL$78:$AL$83</c:f>
              <c:numCache>
                <c:formatCode>0.00</c:formatCode>
                <c:ptCount val="6"/>
                <c:pt idx="0">
                  <c:v>26.589595375722546</c:v>
                </c:pt>
                <c:pt idx="1">
                  <c:v>12.499999999999993</c:v>
                </c:pt>
                <c:pt idx="2">
                  <c:v>17.065868263473053</c:v>
                </c:pt>
                <c:pt idx="3">
                  <c:v>29.26136363636364</c:v>
                </c:pt>
                <c:pt idx="4">
                  <c:v>62.154696132596683</c:v>
                </c:pt>
                <c:pt idx="5">
                  <c:v>63.783783783783782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22-4221-B1AC-00B8B12EB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15760"/>
        <c:axId val="620820352"/>
      </c:scatterChart>
      <c:valAx>
        <c:axId val="620815760"/>
        <c:scaling>
          <c:orientation val="minMax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20352"/>
        <c:crosses val="autoZero"/>
        <c:crossBetween val="midCat"/>
      </c:valAx>
      <c:valAx>
        <c:axId val="62082035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Rejection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1576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mM NaCl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'PIP Layers NaCl'!$AD$78:$AD$83</c:f>
                <c:numCache>
                  <c:formatCode>General</c:formatCode>
                  <c:ptCount val="6"/>
                  <c:pt idx="0">
                    <c:v>8.6190323083039894E-2</c:v>
                  </c:pt>
                  <c:pt idx="1">
                    <c:v>2.1145038496514013</c:v>
                  </c:pt>
                  <c:pt idx="2">
                    <c:v>2.1514705431003391</c:v>
                  </c:pt>
                  <c:pt idx="3">
                    <c:v>6.1210646933047581</c:v>
                  </c:pt>
                  <c:pt idx="4">
                    <c:v>6.4822531573985387</c:v>
                  </c:pt>
                  <c:pt idx="5">
                    <c:v>6.9933224552141713</c:v>
                  </c:pt>
                </c:numCache>
              </c:numRef>
            </c:plus>
            <c:minus>
              <c:numRef>
                <c:f>'PIP Layers NaCl'!$AD$78:$AD$83</c:f>
                <c:numCache>
                  <c:formatCode>General</c:formatCode>
                  <c:ptCount val="6"/>
                  <c:pt idx="0">
                    <c:v>8.6190323083039894E-2</c:v>
                  </c:pt>
                  <c:pt idx="1">
                    <c:v>2.1145038496514013</c:v>
                  </c:pt>
                  <c:pt idx="2">
                    <c:v>2.1514705431003391</c:v>
                  </c:pt>
                  <c:pt idx="3">
                    <c:v>6.1210646933047581</c:v>
                  </c:pt>
                  <c:pt idx="4">
                    <c:v>6.4822531573985387</c:v>
                  </c:pt>
                  <c:pt idx="5">
                    <c:v>6.9933224552141713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'PIP Layers NaCl'!$AB$78:$AB$83</c:f>
              <c:numCache>
                <c:formatCode>General</c:formatCode>
                <c:ptCount val="6"/>
                <c:pt idx="0">
                  <c:v>3.48</c:v>
                </c:pt>
                <c:pt idx="1">
                  <c:v>5.2</c:v>
                </c:pt>
                <c:pt idx="2">
                  <c:v>6.7</c:v>
                </c:pt>
                <c:pt idx="3">
                  <c:v>8.9</c:v>
                </c:pt>
                <c:pt idx="4">
                  <c:v>9.9</c:v>
                </c:pt>
                <c:pt idx="5">
                  <c:v>10.43</c:v>
                </c:pt>
              </c:numCache>
            </c:numRef>
          </c:xVal>
          <c:yVal>
            <c:numRef>
              <c:f>'PIP Layers NaCl'!$AC$78:$AC$83</c:f>
              <c:numCache>
                <c:formatCode>0.00</c:formatCode>
                <c:ptCount val="6"/>
                <c:pt idx="0">
                  <c:v>63.624070317782277</c:v>
                </c:pt>
                <c:pt idx="1">
                  <c:v>40.041493775933617</c:v>
                </c:pt>
                <c:pt idx="2">
                  <c:v>41.817554750819099</c:v>
                </c:pt>
                <c:pt idx="3">
                  <c:v>55.927260250471782</c:v>
                </c:pt>
                <c:pt idx="4">
                  <c:v>70.88900766078747</c:v>
                </c:pt>
                <c:pt idx="5">
                  <c:v>77.516839614054263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03-424B-9E93-59046B9EAC54}"/>
            </c:ext>
          </c:extLst>
        </c:ser>
        <c:ser>
          <c:idx val="2"/>
          <c:order val="1"/>
          <c:tx>
            <c:v>1L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'PIP Layers NaCl'!$AJ$78:$AJ$83</c:f>
                <c:numCache>
                  <c:formatCode>General</c:formatCode>
                  <c:ptCount val="6"/>
                  <c:pt idx="0">
                    <c:v>4.8292934917920691</c:v>
                  </c:pt>
                  <c:pt idx="1">
                    <c:v>2.6215500853482285</c:v>
                  </c:pt>
                  <c:pt idx="2">
                    <c:v>3.8456418024125925</c:v>
                  </c:pt>
                  <c:pt idx="3">
                    <c:v>4.8511555895543568</c:v>
                  </c:pt>
                  <c:pt idx="4">
                    <c:v>2.1887625352477182</c:v>
                  </c:pt>
                  <c:pt idx="5">
                    <c:v>8.1581942688226707</c:v>
                  </c:pt>
                </c:numCache>
              </c:numRef>
            </c:plus>
            <c:minus>
              <c:numRef>
                <c:f>'PIP Layers NaCl'!$AJ$78:$AJ$83</c:f>
                <c:numCache>
                  <c:formatCode>General</c:formatCode>
                  <c:ptCount val="6"/>
                  <c:pt idx="0">
                    <c:v>4.8292934917920691</c:v>
                  </c:pt>
                  <c:pt idx="1">
                    <c:v>2.6215500853482285</c:v>
                  </c:pt>
                  <c:pt idx="2">
                    <c:v>3.8456418024125925</c:v>
                  </c:pt>
                  <c:pt idx="3">
                    <c:v>4.8511555895543568</c:v>
                  </c:pt>
                  <c:pt idx="4">
                    <c:v>2.1887625352477182</c:v>
                  </c:pt>
                  <c:pt idx="5">
                    <c:v>8.1581942688226707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'PIP Layers NaCl'!$AH$78:$AH$83</c:f>
              <c:numCache>
                <c:formatCode>General</c:formatCode>
                <c:ptCount val="6"/>
                <c:pt idx="0">
                  <c:v>3.55</c:v>
                </c:pt>
                <c:pt idx="1">
                  <c:v>5.0999999999999996</c:v>
                </c:pt>
                <c:pt idx="2">
                  <c:v>6.85</c:v>
                </c:pt>
                <c:pt idx="3">
                  <c:v>9.0399999999999991</c:v>
                </c:pt>
                <c:pt idx="4">
                  <c:v>10.02</c:v>
                </c:pt>
                <c:pt idx="5">
                  <c:v>10.45</c:v>
                </c:pt>
              </c:numCache>
            </c:numRef>
          </c:xVal>
          <c:yVal>
            <c:numRef>
              <c:f>'PIP Layers NaCl'!$AI$78:$AI$83</c:f>
              <c:numCache>
                <c:formatCode>0.00</c:formatCode>
                <c:ptCount val="6"/>
                <c:pt idx="0">
                  <c:v>27.352510970258418</c:v>
                </c:pt>
                <c:pt idx="1">
                  <c:v>7.8270388615216184</c:v>
                </c:pt>
                <c:pt idx="2">
                  <c:v>19.114219114219114</c:v>
                </c:pt>
                <c:pt idx="3">
                  <c:v>38.238238238238239</c:v>
                </c:pt>
                <c:pt idx="4">
                  <c:v>45.243282498184463</c:v>
                </c:pt>
                <c:pt idx="5">
                  <c:v>47.727272727272727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03-424B-9E93-59046B9EAC54}"/>
            </c:ext>
          </c:extLst>
        </c:ser>
        <c:ser>
          <c:idx val="3"/>
          <c:order val="2"/>
          <c:tx>
            <c:v>5L - 2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'PIP Layers NaCl'!$AB$5:$AB$10</c:f>
              <c:numCache>
                <c:formatCode>General</c:formatCode>
                <c:ptCount val="6"/>
                <c:pt idx="0">
                  <c:v>3.47</c:v>
                </c:pt>
                <c:pt idx="1">
                  <c:v>5.15</c:v>
                </c:pt>
                <c:pt idx="2">
                  <c:v>6.5</c:v>
                </c:pt>
                <c:pt idx="3">
                  <c:v>8.9</c:v>
                </c:pt>
                <c:pt idx="4">
                  <c:v>10</c:v>
                </c:pt>
                <c:pt idx="5">
                  <c:v>10.5</c:v>
                </c:pt>
              </c:numCache>
            </c:numRef>
          </c:xVal>
          <c:yVal>
            <c:numRef>
              <c:f>'PIP Layers NaCl'!$AC$5:$AC$10</c:f>
              <c:numCache>
                <c:formatCode>0.00</c:formatCode>
                <c:ptCount val="6"/>
                <c:pt idx="0">
                  <c:v>51.116838487972508</c:v>
                </c:pt>
                <c:pt idx="1">
                  <c:v>47.255880256593009</c:v>
                </c:pt>
                <c:pt idx="2">
                  <c:v>60.545872179435207</c:v>
                </c:pt>
                <c:pt idx="3">
                  <c:v>68.501895072810697</c:v>
                </c:pt>
                <c:pt idx="4">
                  <c:v>81.208309510196287</c:v>
                </c:pt>
                <c:pt idx="5">
                  <c:v>85.061254342658614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03-424B-9E93-59046B9EAC54}"/>
            </c:ext>
          </c:extLst>
        </c:ser>
        <c:ser>
          <c:idx val="1"/>
          <c:order val="3"/>
          <c:tx>
            <c:v>1L - 2</c:v>
          </c:tx>
          <c:spPr>
            <a:ln w="1905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'PIP Layers NaCl'!$AH$5:$AH$10</c:f>
              <c:numCache>
                <c:formatCode>General</c:formatCode>
                <c:ptCount val="6"/>
                <c:pt idx="0">
                  <c:v>3.5</c:v>
                </c:pt>
                <c:pt idx="1">
                  <c:v>4.9000000000000004</c:v>
                </c:pt>
                <c:pt idx="2">
                  <c:v>6.25</c:v>
                </c:pt>
                <c:pt idx="3">
                  <c:v>8.6</c:v>
                </c:pt>
                <c:pt idx="4">
                  <c:v>9.9</c:v>
                </c:pt>
                <c:pt idx="5">
                  <c:v>10.49</c:v>
                </c:pt>
              </c:numCache>
            </c:numRef>
          </c:xVal>
          <c:yVal>
            <c:numRef>
              <c:f>'PIP Layers NaCl'!$AI$5:$AI$10</c:f>
              <c:numCache>
                <c:formatCode>0.00</c:formatCode>
                <c:ptCount val="6"/>
                <c:pt idx="0">
                  <c:v>34.005037783375322</c:v>
                </c:pt>
                <c:pt idx="1">
                  <c:v>17.503217503217499</c:v>
                </c:pt>
                <c:pt idx="2">
                  <c:v>36.609336609336616</c:v>
                </c:pt>
                <c:pt idx="3">
                  <c:v>54.888221554888219</c:v>
                </c:pt>
                <c:pt idx="4">
                  <c:v>72.13709013016971</c:v>
                </c:pt>
                <c:pt idx="5">
                  <c:v>75.512195121951223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03-424B-9E93-59046B9EAC54}"/>
            </c:ext>
          </c:extLst>
        </c:ser>
        <c:ser>
          <c:idx val="4"/>
          <c:order val="4"/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'PIP Layers NaCl'!$AJ$40:$AJ$45</c:f>
              <c:numCache>
                <c:formatCode>General</c:formatCode>
                <c:ptCount val="6"/>
                <c:pt idx="0">
                  <c:v>3.53</c:v>
                </c:pt>
                <c:pt idx="1">
                  <c:v>4.9400000000000004</c:v>
                </c:pt>
                <c:pt idx="2">
                  <c:v>6.63</c:v>
                </c:pt>
                <c:pt idx="3">
                  <c:v>8.85</c:v>
                </c:pt>
                <c:pt idx="4">
                  <c:v>9.98</c:v>
                </c:pt>
                <c:pt idx="5">
                  <c:v>10.44</c:v>
                </c:pt>
              </c:numCache>
            </c:numRef>
          </c:xVal>
          <c:yVal>
            <c:numRef>
              <c:f>'PIP Layers NaCl'!$AK$40:$AK$45</c:f>
              <c:numCache>
                <c:formatCode>General</c:formatCode>
                <c:ptCount val="6"/>
                <c:pt idx="0">
                  <c:v>32.936507936507944</c:v>
                </c:pt>
                <c:pt idx="1">
                  <c:v>15.87982832618026</c:v>
                </c:pt>
                <c:pt idx="2">
                  <c:v>38.49372384937238</c:v>
                </c:pt>
                <c:pt idx="3">
                  <c:v>45.614035087719301</c:v>
                </c:pt>
                <c:pt idx="4">
                  <c:v>84.449339207048467</c:v>
                </c:pt>
                <c:pt idx="5">
                  <c:v>88.864628820960689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03-424B-9E93-59046B9EA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15760"/>
        <c:axId val="620820352"/>
      </c:scatterChart>
      <c:valAx>
        <c:axId val="620815760"/>
        <c:scaling>
          <c:orientation val="minMax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20352"/>
        <c:crosses val="autoZero"/>
        <c:crossBetween val="midCat"/>
      </c:valAx>
      <c:valAx>
        <c:axId val="62082035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Rejection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1576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'PIP Layers NaCl'!$Y$157:$Y$160</c:f>
              <c:numCache>
                <c:formatCode>General</c:formatCode>
                <c:ptCount val="4"/>
                <c:pt idx="0">
                  <c:v>18.700000000000003</c:v>
                </c:pt>
                <c:pt idx="1">
                  <c:v>29.7</c:v>
                </c:pt>
                <c:pt idx="2">
                  <c:v>17.5</c:v>
                </c:pt>
                <c:pt idx="3">
                  <c:v>21.5</c:v>
                </c:pt>
              </c:numCache>
            </c:numRef>
          </c:xVal>
          <c:yVal>
            <c:numRef>
              <c:f>'PIP Layers NaCl'!$Z$157:$Z$160</c:f>
              <c:numCache>
                <c:formatCode>General</c:formatCode>
                <c:ptCount val="4"/>
                <c:pt idx="0">
                  <c:v>7.5</c:v>
                </c:pt>
                <c:pt idx="1">
                  <c:v>24.299999999999997</c:v>
                </c:pt>
                <c:pt idx="2">
                  <c:v>27.799999999999997</c:v>
                </c:pt>
                <c:pt idx="3">
                  <c:v>25.200000000000003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8-44A3-B629-CE8850460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748256"/>
        <c:axId val="1109751208"/>
      </c:scatterChart>
      <c:valAx>
        <c:axId val="110974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51208"/>
        <c:crosses val="autoZero"/>
        <c:crossBetween val="midCat"/>
      </c:valAx>
      <c:valAx>
        <c:axId val="110975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4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'NF270 NaCl'!$Z$4:$Z$9</c:f>
              <c:numCache>
                <c:formatCode>General</c:formatCode>
                <c:ptCount val="6"/>
                <c:pt idx="0">
                  <c:v>3.53</c:v>
                </c:pt>
                <c:pt idx="1">
                  <c:v>4.9400000000000004</c:v>
                </c:pt>
                <c:pt idx="2">
                  <c:v>6.63</c:v>
                </c:pt>
                <c:pt idx="3">
                  <c:v>8.85</c:v>
                </c:pt>
                <c:pt idx="4">
                  <c:v>9.98</c:v>
                </c:pt>
                <c:pt idx="5">
                  <c:v>10.44</c:v>
                </c:pt>
              </c:numCache>
            </c:numRef>
          </c:xVal>
          <c:yVal>
            <c:numRef>
              <c:f>'NF270 NaCl'!$AA$4:$AA$9</c:f>
              <c:numCache>
                <c:formatCode>0.00</c:formatCode>
                <c:ptCount val="6"/>
                <c:pt idx="0">
                  <c:v>32.936507936507944</c:v>
                </c:pt>
                <c:pt idx="1">
                  <c:v>15.87982832618026</c:v>
                </c:pt>
                <c:pt idx="2">
                  <c:v>38.49372384937238</c:v>
                </c:pt>
                <c:pt idx="3">
                  <c:v>45.614035087719301</c:v>
                </c:pt>
                <c:pt idx="4">
                  <c:v>84.449339207048467</c:v>
                </c:pt>
                <c:pt idx="5">
                  <c:v>88.864628820960689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C7-4816-B6E0-26A22DCE7D0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'NF270 NaCl'!$AC$4:$AC$9</c:f>
              <c:numCache>
                <c:formatCode>General</c:formatCode>
                <c:ptCount val="6"/>
                <c:pt idx="0">
                  <c:v>3.46</c:v>
                </c:pt>
                <c:pt idx="1">
                  <c:v>5.01</c:v>
                </c:pt>
                <c:pt idx="2">
                  <c:v>6.86</c:v>
                </c:pt>
                <c:pt idx="3">
                  <c:v>8.5</c:v>
                </c:pt>
                <c:pt idx="4">
                  <c:v>9.9700000000000006</c:v>
                </c:pt>
                <c:pt idx="5">
                  <c:v>10.52</c:v>
                </c:pt>
              </c:numCache>
            </c:numRef>
          </c:xVal>
          <c:yVal>
            <c:numRef>
              <c:f>'NF270 NaCl'!$AD$4:$AD$9</c:f>
              <c:numCache>
                <c:formatCode>0.00</c:formatCode>
                <c:ptCount val="6"/>
                <c:pt idx="0">
                  <c:v>26.589595375722546</c:v>
                </c:pt>
                <c:pt idx="1">
                  <c:v>12.499999999999993</c:v>
                </c:pt>
                <c:pt idx="2">
                  <c:v>17.065868263473053</c:v>
                </c:pt>
                <c:pt idx="3">
                  <c:v>29.26136363636364</c:v>
                </c:pt>
                <c:pt idx="4">
                  <c:v>62.154696132596683</c:v>
                </c:pt>
                <c:pt idx="5">
                  <c:v>63.783783783783782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C7-4816-B6E0-26A22DCE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08632"/>
        <c:axId val="718013224"/>
      </c:scatterChart>
      <c:valAx>
        <c:axId val="71800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13224"/>
        <c:crosses val="autoZero"/>
        <c:crossBetween val="midCat"/>
      </c:valAx>
      <c:valAx>
        <c:axId val="71801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0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'NF270 NaNO3'!$U$4:$U$9</c:f>
              <c:numCache>
                <c:formatCode>General</c:formatCode>
                <c:ptCount val="6"/>
                <c:pt idx="0">
                  <c:v>3.48</c:v>
                </c:pt>
                <c:pt idx="1">
                  <c:v>4.8099999999999996</c:v>
                </c:pt>
                <c:pt idx="2">
                  <c:v>6.42</c:v>
                </c:pt>
                <c:pt idx="3">
                  <c:v>8.85</c:v>
                </c:pt>
                <c:pt idx="4">
                  <c:v>9.94</c:v>
                </c:pt>
                <c:pt idx="5">
                  <c:v>10.53</c:v>
                </c:pt>
              </c:numCache>
            </c:numRef>
          </c:xVal>
          <c:yVal>
            <c:numRef>
              <c:f>'NF270 NaNO3'!$V$4:$V$9</c:f>
              <c:numCache>
                <c:formatCode>0.00</c:formatCode>
                <c:ptCount val="6"/>
                <c:pt idx="0">
                  <c:v>10.75117370892019</c:v>
                </c:pt>
                <c:pt idx="1">
                  <c:v>6.5975494816211064</c:v>
                </c:pt>
                <c:pt idx="2">
                  <c:v>22.861216730038027</c:v>
                </c:pt>
                <c:pt idx="3">
                  <c:v>29.030754892823857</c:v>
                </c:pt>
                <c:pt idx="4">
                  <c:v>40.526802218114604</c:v>
                </c:pt>
                <c:pt idx="5">
                  <c:v>42.12204007285974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7D-4B23-BE03-E9D764951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99120"/>
        <c:axId val="718000104"/>
      </c:scatterChart>
      <c:valAx>
        <c:axId val="71799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00104"/>
        <c:crosses val="autoZero"/>
        <c:crossBetween val="midCat"/>
      </c:valAx>
      <c:valAx>
        <c:axId val="71800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9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PWP!$O$4:$O$9</c:f>
              <c:numCache>
                <c:formatCode>General</c:formatCode>
                <c:ptCount val="6"/>
                <c:pt idx="0">
                  <c:v>3.48</c:v>
                </c:pt>
                <c:pt idx="1">
                  <c:v>4.8099999999999996</c:v>
                </c:pt>
                <c:pt idx="2">
                  <c:v>6.42</c:v>
                </c:pt>
                <c:pt idx="3">
                  <c:v>8.85</c:v>
                </c:pt>
                <c:pt idx="4">
                  <c:v>9.94</c:v>
                </c:pt>
                <c:pt idx="5">
                  <c:v>10.53</c:v>
                </c:pt>
              </c:numCache>
            </c:numRef>
          </c:xVal>
          <c:yVal>
            <c:numRef>
              <c:f>PWP!$P$4:$P$9</c:f>
              <c:numCache>
                <c:formatCode>General</c:formatCode>
                <c:ptCount val="6"/>
                <c:pt idx="0">
                  <c:v>13.910256410256409</c:v>
                </c:pt>
                <c:pt idx="1">
                  <c:v>15.29487179487179</c:v>
                </c:pt>
                <c:pt idx="2">
                  <c:v>14.019230769230768</c:v>
                </c:pt>
                <c:pt idx="3">
                  <c:v>11.839743589743589</c:v>
                </c:pt>
                <c:pt idx="4">
                  <c:v>14.814102564102564</c:v>
                </c:pt>
                <c:pt idx="5">
                  <c:v>16.352564102564102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9E-4F86-A3EE-421CE8659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253256"/>
        <c:axId val="939259488"/>
      </c:scatterChart>
      <c:valAx>
        <c:axId val="93925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59488"/>
        <c:crosses val="autoZero"/>
        <c:crossBetween val="midCat"/>
      </c:valAx>
      <c:valAx>
        <c:axId val="9392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5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274320</xdr:colOff>
      <xdr:row>11</xdr:row>
      <xdr:rowOff>106680</xdr:rowOff>
    </xdr:from>
    <xdr:to>
      <xdr:col>27</xdr:col>
      <xdr:colOff>579120</xdr:colOff>
      <xdr:row>26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7648CC0-2905-4DD8-BE16-0A56419AB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457200</xdr:colOff>
      <xdr:row>79</xdr:row>
      <xdr:rowOff>144780</xdr:rowOff>
    </xdr:from>
    <xdr:to>
      <xdr:col>28</xdr:col>
      <xdr:colOff>152400</xdr:colOff>
      <xdr:row>94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59DE3BB-C236-4123-9DB2-9FB8E8D49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449356</xdr:colOff>
      <xdr:row>22</xdr:row>
      <xdr:rowOff>1120</xdr:rowOff>
    </xdr:from>
    <xdr:to>
      <xdr:col>35</xdr:col>
      <xdr:colOff>144557</xdr:colOff>
      <xdr:row>37</xdr:row>
      <xdr:rowOff>1120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888123-1023-4FFB-B806-CDC6C1564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519952</xdr:colOff>
      <xdr:row>98</xdr:row>
      <xdr:rowOff>5603</xdr:rowOff>
    </xdr:from>
    <xdr:to>
      <xdr:col>37</xdr:col>
      <xdr:colOff>210670</xdr:colOff>
      <xdr:row>113</xdr:row>
      <xdr:rowOff>5603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5D8078-E295-470B-B283-D7B15A880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154641</xdr:colOff>
      <xdr:row>38</xdr:row>
      <xdr:rowOff>136935</xdr:rowOff>
    </xdr:from>
    <xdr:to>
      <xdr:col>35</xdr:col>
      <xdr:colOff>463924</xdr:colOff>
      <xdr:row>53</xdr:row>
      <xdr:rowOff>136936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636D54-0A40-4A58-94CD-BD341E509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541804</xdr:colOff>
      <xdr:row>148</xdr:row>
      <xdr:rowOff>29244</xdr:rowOff>
    </xdr:from>
    <xdr:to>
      <xdr:col>12</xdr:col>
      <xdr:colOff>123153</xdr:colOff>
      <xdr:row>163</xdr:row>
      <xdr:rowOff>77318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57F67-3684-4DB4-9BC0-36933EA71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481965</xdr:colOff>
      <xdr:row>24</xdr:row>
      <xdr:rowOff>82867</xdr:rowOff>
    </xdr:from>
    <xdr:to>
      <xdr:col>35</xdr:col>
      <xdr:colOff>177165</xdr:colOff>
      <xdr:row>37</xdr:row>
      <xdr:rowOff>117157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56A76-1E04-4E29-BA0D-35231845A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506730</xdr:colOff>
      <xdr:row>11</xdr:row>
      <xdr:rowOff>153352</xdr:rowOff>
    </xdr:from>
    <xdr:to>
      <xdr:col>26</xdr:col>
      <xdr:colOff>198120</xdr:colOff>
      <xdr:row>27</xdr:row>
      <xdr:rowOff>8572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0F03A-A06A-490A-87A3-0C854D5B5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11</xdr:row>
      <xdr:rowOff>0</xdr:rowOff>
    </xdr:from>
    <xdr:to>
      <xdr:col>22</xdr:col>
      <xdr:colOff>300990</xdr:colOff>
      <xdr:row>26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0D00A-C2D6-4ADB-A4DF-368D9A146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28</xdr:row>
      <xdr:rowOff>98107</xdr:rowOff>
    </xdr:from>
    <xdr:to>
      <xdr:col>19</xdr:col>
      <xdr:colOff>381000</xdr:colOff>
      <xdr:row>43</xdr:row>
      <xdr:rowOff>124777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0EAD4C-F150-41C6-B92F-6E6FB0E08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329565</xdr:colOff>
      <xdr:row>12</xdr:row>
      <xdr:rowOff>134302</xdr:rowOff>
    </xdr:from>
    <xdr:to>
      <xdr:col>26</xdr:col>
      <xdr:colOff>28575</xdr:colOff>
      <xdr:row>27</xdr:row>
      <xdr:rowOff>170497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B43DF-9B40-4CFB-8CCA-87A91C8D8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100965</xdr:colOff>
      <xdr:row>41</xdr:row>
      <xdr:rowOff>116205</xdr:rowOff>
    </xdr:from>
    <xdr:to>
      <xdr:col>8</xdr:col>
      <xdr:colOff>666750</xdr:colOff>
      <xdr:row>56</xdr:row>
      <xdr:rowOff>116205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F5248-64EF-4863-A0C0-533D0BD7A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321945</xdr:colOff>
      <xdr:row>41</xdr:row>
      <xdr:rowOff>68580</xdr:rowOff>
    </xdr:from>
    <xdr:to>
      <xdr:col>17</xdr:col>
      <xdr:colOff>179070</xdr:colOff>
      <xdr:row>56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5BE5DD-63D3-49C8-8AA4-602A900C8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426720</xdr:colOff>
      <xdr:row>10</xdr:row>
      <xdr:rowOff>53340</xdr:rowOff>
    </xdr:from>
    <xdr:to>
      <xdr:col>25</xdr:col>
      <xdr:colOff>121920</xdr:colOff>
      <xdr:row>25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59D05C-4C69-46FF-8EE5-9AFD213C9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114300</xdr:colOff>
      <xdr:row>26</xdr:row>
      <xdr:rowOff>83820</xdr:rowOff>
    </xdr:from>
    <xdr:to>
      <xdr:col>25</xdr:col>
      <xdr:colOff>419100</xdr:colOff>
      <xdr:row>41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0DD228-56DA-4834-98CA-FE9264B38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148590</xdr:colOff>
      <xdr:row>56</xdr:row>
      <xdr:rowOff>72390</xdr:rowOff>
    </xdr:from>
    <xdr:to>
      <xdr:col>9</xdr:col>
      <xdr:colOff>15240</xdr:colOff>
      <xdr:row>71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3B763F-23EC-4C5B-B22F-48FBDEF64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331470</xdr:colOff>
      <xdr:row>56</xdr:row>
      <xdr:rowOff>95250</xdr:rowOff>
    </xdr:from>
    <xdr:to>
      <xdr:col>17</xdr:col>
      <xdr:colOff>186690</xdr:colOff>
      <xdr:row>71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02EC3E-2620-47E6-8A8B-0AA377EF2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22</xdr:row>
      <xdr:rowOff>133350</xdr:rowOff>
    </xdr:from>
    <xdr:to>
      <xdr:col>11</xdr:col>
      <xdr:colOff>38100</xdr:colOff>
      <xdr:row>37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B9B6D-8F13-4506-875F-8A3666F88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472440</xdr:colOff>
      <xdr:row>23</xdr:row>
      <xdr:rowOff>175260</xdr:rowOff>
    </xdr:from>
    <xdr:to>
      <xdr:col>22</xdr:col>
      <xdr:colOff>167640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79679-E9E0-489A-A317-A4A29F702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</xdr:colOff>
      <xdr:row>2</xdr:row>
      <xdr:rowOff>41910</xdr:rowOff>
    </xdr:from>
    <xdr:to>
      <xdr:col>29</xdr:col>
      <xdr:colOff>306705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B633F-683E-4B60-9B8E-59206CDE5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214312</xdr:colOff>
      <xdr:row>12</xdr:row>
      <xdr:rowOff>185737</xdr:rowOff>
    </xdr:from>
    <xdr:to>
      <xdr:col>28</xdr:col>
      <xdr:colOff>519112</xdr:colOff>
      <xdr:row>27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A28383-636E-44DF-A599-F415D3E84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419100</xdr:colOff>
      <xdr:row>7</xdr:row>
      <xdr:rowOff>185737</xdr:rowOff>
    </xdr:from>
    <xdr:to>
      <xdr:col>9</xdr:col>
      <xdr:colOff>285750</xdr:colOff>
      <xdr:row>22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88648E-E211-4F3A-B6B9-65D379E19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72390</xdr:colOff>
      <xdr:row>24</xdr:row>
      <xdr:rowOff>108585</xdr:rowOff>
    </xdr:from>
    <xdr:to>
      <xdr:col>29</xdr:col>
      <xdr:colOff>377190</xdr:colOff>
      <xdr:row>38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4A086B-5B8F-4BA1-B418-23F3D34FA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182880</xdr:colOff>
      <xdr:row>21</xdr:row>
      <xdr:rowOff>140970</xdr:rowOff>
    </xdr:from>
    <xdr:to>
      <xdr:col>28</xdr:col>
      <xdr:colOff>487680</xdr:colOff>
      <xdr:row>36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12528F-1ABE-4C41-B1B3-9F1AA08C5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251460</xdr:colOff>
      <xdr:row>1</xdr:row>
      <xdr:rowOff>30480</xdr:rowOff>
    </xdr:from>
    <xdr:to>
      <xdr:col>26</xdr:col>
      <xdr:colOff>556260</xdr:colOff>
      <xdr:row>16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42B0EC-8561-4AF0-93B3-6E98FF594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18</xdr:row>
      <xdr:rowOff>0</xdr:rowOff>
    </xdr:from>
    <xdr:to>
      <xdr:col>26</xdr:col>
      <xdr:colOff>304800</xdr:colOff>
      <xdr:row>32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EB0F7F-81C4-409E-BE4E-F563265EE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85C8-733D-4EB2-A106-4F298B703F16}">
  <dimension ref="A1:AD128"/>
  <sheetViews>
    <sheetView tabSelected="1" workbookViewId="0">
      <selection activeCell="L77" sqref="L77"/>
    </sheetView>
  </sheetViews>
  <sheetFormatPr defaultRowHeight="14.4" x14ac:dyDescent="0.3"/>
  <cols>
    <col min="5" max="5" width="12.6640625" customWidth="1"/>
    <col min="6" max="6" width="12.109375" bestFit="1" customWidth="1"/>
    <col min="7" max="7" width="12.44140625" customWidth="1"/>
    <col min="11" max="11" width="11.5546875" customWidth="1"/>
    <col min="12" max="12" width="9.6640625" customWidth="1"/>
    <col min="15" max="15" width="9" bestFit="1" customWidth="1"/>
    <col min="17" max="17" width="11.6640625" bestFit="1" customWidth="1"/>
    <col min="18" max="18" width="11.6640625" customWidth="1"/>
  </cols>
  <sheetData>
    <row r="1" spans="1:30" ht="43.2" x14ac:dyDescent="0.3">
      <c r="A1" s="16" t="s">
        <v>0</v>
      </c>
      <c r="B1" s="16" t="s">
        <v>1</v>
      </c>
      <c r="C1" s="1" t="s">
        <v>2</v>
      </c>
      <c r="D1" s="16" t="s">
        <v>3</v>
      </c>
      <c r="E1" s="1" t="s">
        <v>4</v>
      </c>
      <c r="F1" s="16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23</v>
      </c>
      <c r="L1" s="1" t="s">
        <v>24</v>
      </c>
      <c r="M1" s="1" t="s">
        <v>9</v>
      </c>
      <c r="N1" s="16" t="s">
        <v>0</v>
      </c>
      <c r="O1" s="16" t="s">
        <v>25</v>
      </c>
      <c r="P1" s="16" t="s">
        <v>26</v>
      </c>
      <c r="Q1" s="16" t="s">
        <v>27</v>
      </c>
      <c r="R1" s="17" t="s">
        <v>38</v>
      </c>
      <c r="S1" s="16" t="s">
        <v>28</v>
      </c>
      <c r="T1" s="16" t="s">
        <v>9</v>
      </c>
    </row>
    <row r="2" spans="1:30" x14ac:dyDescent="0.3">
      <c r="A2" t="s">
        <v>17</v>
      </c>
      <c r="N2" s="4" t="s">
        <v>17</v>
      </c>
      <c r="O2" s="4"/>
      <c r="P2" s="4"/>
      <c r="Q2" s="4"/>
      <c r="R2" s="4"/>
      <c r="S2" s="4"/>
      <c r="T2" s="4"/>
      <c r="V2" s="50" t="s">
        <v>27</v>
      </c>
      <c r="W2" s="50"/>
      <c r="X2" s="50"/>
      <c r="Y2" s="50"/>
      <c r="Z2" s="50"/>
      <c r="AA2" s="50"/>
      <c r="AB2" s="50"/>
      <c r="AC2" s="50"/>
      <c r="AD2" s="50"/>
    </row>
    <row r="3" spans="1:30" x14ac:dyDescent="0.3">
      <c r="A3" t="s">
        <v>11</v>
      </c>
      <c r="B3" s="2">
        <v>6.72</v>
      </c>
      <c r="C3" s="2">
        <v>11.28</v>
      </c>
      <c r="D3" s="2">
        <f>(C3-B3)/1000</f>
        <v>4.5599999999999998E-3</v>
      </c>
      <c r="E3" s="2">
        <f>20/(100^2)</f>
        <v>2E-3</v>
      </c>
      <c r="F3" s="2">
        <f>6.895*1.5</f>
        <v>10.342499999999999</v>
      </c>
      <c r="G3" s="2">
        <v>10</v>
      </c>
      <c r="H3" s="3">
        <f>(D3/(E3*(G3/60)))</f>
        <v>13.68</v>
      </c>
      <c r="I3" s="3">
        <f>AVERAGE(H3:H5)</f>
        <v>19.849999999999998</v>
      </c>
      <c r="J3" s="2">
        <f>_xlfn.STDEV.P(H3:H5)</f>
        <v>5.8728698265839325</v>
      </c>
      <c r="K3">
        <f>H3/F3</f>
        <v>1.3226976069615664</v>
      </c>
      <c r="L3" s="3">
        <f>AVERAGE(K3:K5)</f>
        <v>1.9192651679961326</v>
      </c>
      <c r="M3" s="2">
        <f>_xlfn.STDEV.P(K3:K5)</f>
        <v>0.56783851356866655</v>
      </c>
      <c r="N3" s="4" t="s">
        <v>11</v>
      </c>
      <c r="O3" s="4">
        <v>32.119999999999997</v>
      </c>
      <c r="P3" s="4">
        <v>10.1</v>
      </c>
      <c r="Q3" s="5">
        <f>(O3-P3)*100/O3</f>
        <v>68.555417185554163</v>
      </c>
      <c r="R3" s="5"/>
      <c r="S3" s="5">
        <f>AVERAGE(Q3:Q5)</f>
        <v>77.584059775840601</v>
      </c>
      <c r="T3" s="5">
        <f>_xlfn.STDEV.P(Q3:Q5)</f>
        <v>6.4858862565378805</v>
      </c>
      <c r="V3" s="50" t="s">
        <v>29</v>
      </c>
      <c r="W3" s="50"/>
      <c r="X3" s="50"/>
      <c r="Y3" s="50" t="s">
        <v>30</v>
      </c>
      <c r="Z3" s="50"/>
      <c r="AA3" s="50"/>
      <c r="AB3" s="50" t="s">
        <v>31</v>
      </c>
      <c r="AC3" s="50"/>
      <c r="AD3" s="50"/>
    </row>
    <row r="4" spans="1:30" x14ac:dyDescent="0.3">
      <c r="A4" t="s">
        <v>12</v>
      </c>
      <c r="B4" s="2">
        <v>6.65</v>
      </c>
      <c r="C4" s="2">
        <v>12.69</v>
      </c>
      <c r="D4" s="2">
        <f t="shared" ref="D4:D5" si="0">(C4-B4)/1000</f>
        <v>6.0399999999999994E-3</v>
      </c>
      <c r="E4" s="2">
        <f t="shared" ref="E4:E11" si="1">20/(100^2)</f>
        <v>2E-3</v>
      </c>
      <c r="F4" s="2">
        <f t="shared" ref="F4:F5" si="2">6.895*1.5</f>
        <v>10.342499999999999</v>
      </c>
      <c r="G4" s="2">
        <v>10</v>
      </c>
      <c r="H4" s="3">
        <f t="shared" ref="H4:H6" si="3">(D4/(E4*(G4/60)))</f>
        <v>18.119999999999997</v>
      </c>
      <c r="I4" s="3"/>
      <c r="J4" s="3"/>
      <c r="K4">
        <f t="shared" ref="K4:K11" si="4">H4/F4</f>
        <v>1.7519941986947061</v>
      </c>
      <c r="L4" s="3"/>
      <c r="M4" s="3"/>
      <c r="N4" s="4" t="s">
        <v>12</v>
      </c>
      <c r="O4" s="4">
        <v>32.119999999999997</v>
      </c>
      <c r="P4" s="4">
        <v>5.3</v>
      </c>
      <c r="Q4" s="5">
        <f t="shared" ref="Q4:Q11" si="5">(O4-P4)*100/O4</f>
        <v>83.499377334993767</v>
      </c>
      <c r="R4" s="5"/>
      <c r="S4" s="5"/>
      <c r="T4" s="5"/>
      <c r="V4" t="s">
        <v>39</v>
      </c>
      <c r="W4" t="s">
        <v>40</v>
      </c>
      <c r="X4" t="s">
        <v>9</v>
      </c>
      <c r="Y4" t="s">
        <v>39</v>
      </c>
      <c r="Z4" t="s">
        <v>40</v>
      </c>
      <c r="AA4" t="s">
        <v>9</v>
      </c>
      <c r="AB4" t="s">
        <v>39</v>
      </c>
      <c r="AC4" t="s">
        <v>40</v>
      </c>
      <c r="AD4" t="s">
        <v>9</v>
      </c>
    </row>
    <row r="5" spans="1:30" x14ac:dyDescent="0.3">
      <c r="A5" t="s">
        <v>32</v>
      </c>
      <c r="B5" s="2">
        <v>6.66</v>
      </c>
      <c r="C5" s="2">
        <v>15.91</v>
      </c>
      <c r="D5" s="2">
        <f t="shared" si="0"/>
        <v>9.2499999999999995E-3</v>
      </c>
      <c r="E5" s="2">
        <f t="shared" si="1"/>
        <v>2E-3</v>
      </c>
      <c r="F5" s="2">
        <f t="shared" si="2"/>
        <v>10.342499999999999</v>
      </c>
      <c r="G5" s="2">
        <v>10</v>
      </c>
      <c r="H5" s="3">
        <f t="shared" si="3"/>
        <v>27.75</v>
      </c>
      <c r="I5" s="3"/>
      <c r="J5" s="3"/>
      <c r="K5">
        <f t="shared" si="4"/>
        <v>2.683103698332125</v>
      </c>
      <c r="L5" s="3"/>
      <c r="M5" s="3"/>
      <c r="N5" s="4" t="s">
        <v>32</v>
      </c>
      <c r="O5" s="4">
        <v>32.119999999999997</v>
      </c>
      <c r="P5" s="4">
        <v>6.2</v>
      </c>
      <c r="Q5" s="5">
        <f t="shared" si="5"/>
        <v>80.697384806973858</v>
      </c>
      <c r="R5" s="5"/>
      <c r="S5" s="5"/>
      <c r="T5" s="5"/>
      <c r="V5">
        <v>3.47</v>
      </c>
      <c r="W5" s="18">
        <f>S3</f>
        <v>77.584059775840601</v>
      </c>
      <c r="X5" s="18">
        <f>T3</f>
        <v>6.4858862565378805</v>
      </c>
      <c r="Y5">
        <v>3.46</v>
      </c>
      <c r="Z5" s="18">
        <f>S6</f>
        <v>57.586491911677889</v>
      </c>
      <c r="AA5" s="18">
        <f>T6</f>
        <v>9.1905264087614107</v>
      </c>
      <c r="AB5">
        <v>3.51</v>
      </c>
      <c r="AC5" s="18">
        <f>S9</f>
        <v>42.857142857142861</v>
      </c>
      <c r="AD5" s="18">
        <f>T9</f>
        <v>5.1446416528569392</v>
      </c>
    </row>
    <row r="6" spans="1:30" x14ac:dyDescent="0.3">
      <c r="A6" t="s">
        <v>13</v>
      </c>
      <c r="B6" s="2">
        <v>6.68</v>
      </c>
      <c r="C6" s="2">
        <v>12.53</v>
      </c>
      <c r="D6" s="2">
        <f>(C6-B6)/1000</f>
        <v>5.8499999999999993E-3</v>
      </c>
      <c r="E6" s="2">
        <f t="shared" si="1"/>
        <v>2E-3</v>
      </c>
      <c r="F6" s="2">
        <v>6.8949999999999996</v>
      </c>
      <c r="G6" s="2">
        <v>10</v>
      </c>
      <c r="H6" s="3">
        <f t="shared" si="3"/>
        <v>17.549999999999997</v>
      </c>
      <c r="I6" s="3">
        <f>AVERAGE(H6:H8)</f>
        <v>22.930000000000003</v>
      </c>
      <c r="J6" s="2">
        <f>_xlfn.STDEV.P(H6:H8)</f>
        <v>3.9965234892341059</v>
      </c>
      <c r="K6">
        <f>H6/F6</f>
        <v>2.5453226976069612</v>
      </c>
      <c r="L6" s="3">
        <f>AVERAGE(K6:K8)</f>
        <v>3.3255982596084124</v>
      </c>
      <c r="M6" s="2">
        <f>_xlfn.STDEV.P(K6:K8)</f>
        <v>0.57962632186136531</v>
      </c>
      <c r="N6" s="4" t="s">
        <v>13</v>
      </c>
      <c r="O6" s="4">
        <v>28.23</v>
      </c>
      <c r="P6" s="4">
        <v>8.6</v>
      </c>
      <c r="Q6" s="5">
        <f t="shared" si="5"/>
        <v>69.535954658165082</v>
      </c>
      <c r="R6" s="5"/>
      <c r="S6" s="5">
        <f>AVERAGE(Q6:Q8)</f>
        <v>57.586491911677889</v>
      </c>
      <c r="T6" s="5">
        <f>_xlfn.STDEV.P(Q6:Q8)</f>
        <v>9.1905264087614107</v>
      </c>
      <c r="V6">
        <v>5.15</v>
      </c>
      <c r="W6" s="18">
        <f>S13</f>
        <v>88.187647654404316</v>
      </c>
      <c r="X6" s="18">
        <f>T13</f>
        <v>4.684590575690633</v>
      </c>
      <c r="Y6">
        <v>5.01</v>
      </c>
      <c r="Z6" s="18">
        <f>S16</f>
        <v>87.2609819121447</v>
      </c>
      <c r="AA6" s="18">
        <f>T16</f>
        <v>5.6175556078319593</v>
      </c>
      <c r="AB6">
        <v>4.8</v>
      </c>
      <c r="AC6" s="18">
        <f>S19</f>
        <v>83.00087489063867</v>
      </c>
      <c r="AD6" s="18">
        <f>T19</f>
        <v>4.6180470658169002</v>
      </c>
    </row>
    <row r="7" spans="1:30" x14ac:dyDescent="0.3">
      <c r="A7" t="s">
        <v>14</v>
      </c>
      <c r="B7" s="2">
        <v>6.68</v>
      </c>
      <c r="C7" s="2">
        <v>15.72</v>
      </c>
      <c r="D7" s="2">
        <f t="shared" ref="D7:D11" si="6">(C7-B7)/1000</f>
        <v>9.0400000000000012E-3</v>
      </c>
      <c r="E7" s="2">
        <f t="shared" si="1"/>
        <v>2E-3</v>
      </c>
      <c r="F7" s="2">
        <v>6.8949999999999996</v>
      </c>
      <c r="G7" s="2">
        <v>10</v>
      </c>
      <c r="H7" s="3">
        <f>(D7/(E7*(G7/60)))</f>
        <v>27.120000000000005</v>
      </c>
      <c r="I7" s="3"/>
      <c r="J7" s="2"/>
      <c r="K7">
        <f t="shared" si="4"/>
        <v>3.9332849891225536</v>
      </c>
      <c r="L7" s="3"/>
      <c r="M7" s="2"/>
      <c r="N7" s="4" t="s">
        <v>14</v>
      </c>
      <c r="O7" s="4">
        <v>28.23</v>
      </c>
      <c r="P7" s="4">
        <v>14.91</v>
      </c>
      <c r="Q7" s="5">
        <f t="shared" si="5"/>
        <v>47.183846971307119</v>
      </c>
      <c r="R7" s="5"/>
      <c r="S7" s="4"/>
      <c r="T7" s="4"/>
      <c r="V7">
        <v>6.5</v>
      </c>
      <c r="W7" s="18">
        <f>S23</f>
        <v>91.516436903499468</v>
      </c>
      <c r="X7" s="18">
        <f>T23</f>
        <v>2.9291393648299895</v>
      </c>
      <c r="Y7">
        <v>6.86</v>
      </c>
      <c r="Z7" s="18">
        <f>S26</f>
        <v>92.74415904803368</v>
      </c>
      <c r="AA7" s="18">
        <f>T26</f>
        <v>3.131565812681798</v>
      </c>
      <c r="AB7">
        <v>6.55</v>
      </c>
      <c r="AC7" s="18">
        <f>S29</f>
        <v>91.281233386496538</v>
      </c>
      <c r="AD7" s="18">
        <f>T29</f>
        <v>4.307915296533646</v>
      </c>
    </row>
    <row r="8" spans="1:30" x14ac:dyDescent="0.3">
      <c r="A8" t="s">
        <v>33</v>
      </c>
      <c r="B8" s="2">
        <v>6.68</v>
      </c>
      <c r="C8" s="2">
        <v>14.72</v>
      </c>
      <c r="D8" s="2">
        <f t="shared" si="6"/>
        <v>8.0400000000000003E-3</v>
      </c>
      <c r="E8" s="2">
        <f t="shared" si="1"/>
        <v>2E-3</v>
      </c>
      <c r="F8" s="2">
        <v>6.8949999999999996</v>
      </c>
      <c r="G8" s="2">
        <v>10</v>
      </c>
      <c r="H8" s="3">
        <f>(D8/(E8*(G8/60)))</f>
        <v>24.12</v>
      </c>
      <c r="I8" s="3"/>
      <c r="J8" s="2"/>
      <c r="K8">
        <f t="shared" si="4"/>
        <v>3.4981870920957219</v>
      </c>
      <c r="L8" s="3"/>
      <c r="M8" s="2"/>
      <c r="N8" s="4" t="s">
        <v>33</v>
      </c>
      <c r="O8" s="4">
        <v>28.23</v>
      </c>
      <c r="P8" s="4">
        <v>12.41</v>
      </c>
      <c r="Q8" s="5">
        <f t="shared" si="5"/>
        <v>56.03967410556146</v>
      </c>
      <c r="R8" s="5"/>
      <c r="S8" s="4"/>
      <c r="T8" s="4"/>
      <c r="V8">
        <v>8.9</v>
      </c>
      <c r="W8" s="18">
        <f>S33</f>
        <v>92.05016235583922</v>
      </c>
      <c r="X8" s="18">
        <f>T33</f>
        <v>2.2337853928182758</v>
      </c>
      <c r="Y8">
        <v>8.5</v>
      </c>
      <c r="Z8" s="18">
        <f>S36</f>
        <v>91.054678563257838</v>
      </c>
      <c r="AA8" s="18">
        <f>T36</f>
        <v>3.4647611389308048</v>
      </c>
      <c r="AB8">
        <v>8.6999999999999993</v>
      </c>
      <c r="AC8" s="18">
        <f>S39</f>
        <v>88.020154634697235</v>
      </c>
      <c r="AD8" s="18">
        <f>T39</f>
        <v>3.2287709720790927</v>
      </c>
    </row>
    <row r="9" spans="1:30" x14ac:dyDescent="0.3">
      <c r="A9" t="s">
        <v>15</v>
      </c>
      <c r="B9" s="2">
        <v>6.7</v>
      </c>
      <c r="C9" s="2">
        <v>13.74</v>
      </c>
      <c r="D9" s="2">
        <f t="shared" si="6"/>
        <v>7.0400000000000003E-3</v>
      </c>
      <c r="E9" s="2">
        <f t="shared" si="1"/>
        <v>2E-3</v>
      </c>
      <c r="F9" s="2">
        <v>6.8949999999999996</v>
      </c>
      <c r="G9" s="2">
        <v>10</v>
      </c>
      <c r="H9" s="3">
        <f t="shared" ref="H9:H11" si="7">(D9/(E9*(G9/60)))</f>
        <v>21.12</v>
      </c>
      <c r="I9" s="3">
        <f>AVERAGE(H9:H11)</f>
        <v>17.060000000000002</v>
      </c>
      <c r="J9" s="2">
        <f>_xlfn.STDEV.P(H9:H11)</f>
        <v>12.603269417099678</v>
      </c>
      <c r="K9">
        <f>H9/F9</f>
        <v>3.063089195068891</v>
      </c>
      <c r="L9" s="3">
        <f>AVERAGE(K9:K11)</f>
        <v>2.4742567077592468</v>
      </c>
      <c r="M9" s="2">
        <f>_xlfn.STDEV.P(K9:K11)</f>
        <v>1.8278853396808816</v>
      </c>
      <c r="N9" s="4" t="s">
        <v>15</v>
      </c>
      <c r="O9" s="4">
        <v>38.57</v>
      </c>
      <c r="P9" s="4">
        <v>19.63</v>
      </c>
      <c r="Q9" s="5">
        <f t="shared" si="5"/>
        <v>49.105522426756551</v>
      </c>
      <c r="R9" s="5"/>
      <c r="S9" s="5">
        <f>AVERAGE(Q9:Q11)</f>
        <v>42.857142857142861</v>
      </c>
      <c r="T9" s="5">
        <f>_xlfn.STDEV.P(Q9:Q11)</f>
        <v>5.1446416528569392</v>
      </c>
      <c r="V9">
        <v>10</v>
      </c>
      <c r="W9" s="18">
        <f>S43</f>
        <v>94.051481721825652</v>
      </c>
      <c r="X9" s="18">
        <f>T43</f>
        <v>0.66671144310717811</v>
      </c>
      <c r="Y9">
        <v>9.9700000000000006</v>
      </c>
      <c r="Z9" s="18">
        <f>S46</f>
        <v>93.08405029781602</v>
      </c>
      <c r="AA9" s="18">
        <f>T46</f>
        <v>2.7384735748836153</v>
      </c>
      <c r="AB9">
        <v>9.93</v>
      </c>
      <c r="AC9" s="18">
        <f>S49</f>
        <v>90.533056420906902</v>
      </c>
      <c r="AD9" s="18">
        <f>T49</f>
        <v>4.7133614616715143</v>
      </c>
    </row>
    <row r="10" spans="1:30" x14ac:dyDescent="0.3">
      <c r="A10" t="s">
        <v>16</v>
      </c>
      <c r="B10" s="2">
        <v>6.67</v>
      </c>
      <c r="C10" s="2">
        <v>16.690000000000001</v>
      </c>
      <c r="D10" s="2">
        <f t="shared" si="6"/>
        <v>1.0020000000000001E-2</v>
      </c>
      <c r="E10" s="2">
        <f t="shared" si="1"/>
        <v>2E-3</v>
      </c>
      <c r="F10" s="2">
        <v>6.8949999999999996</v>
      </c>
      <c r="G10" s="2">
        <v>10</v>
      </c>
      <c r="H10" s="3">
        <f t="shared" si="7"/>
        <v>30.060000000000006</v>
      </c>
      <c r="I10" s="3"/>
      <c r="J10" s="2"/>
      <c r="K10">
        <f t="shared" si="4"/>
        <v>4.3596809282088484</v>
      </c>
      <c r="N10" s="4" t="s">
        <v>16</v>
      </c>
      <c r="O10" s="4">
        <v>38.57</v>
      </c>
      <c r="P10" s="4">
        <v>24.49</v>
      </c>
      <c r="Q10" s="5">
        <f t="shared" si="5"/>
        <v>36.505055742805297</v>
      </c>
      <c r="R10" s="5"/>
      <c r="S10" s="4"/>
      <c r="T10" s="4"/>
      <c r="V10">
        <v>10.5</v>
      </c>
      <c r="W10" s="18">
        <f>S53</f>
        <v>94.380268498282859</v>
      </c>
      <c r="X10" s="18">
        <f>T53</f>
        <v>1.4193133205313571</v>
      </c>
      <c r="Y10">
        <v>10.52</v>
      </c>
      <c r="Z10" s="18">
        <f>S56</f>
        <v>93.452571063557969</v>
      </c>
      <c r="AA10" s="18">
        <f>T56</f>
        <v>2.7631417452475837</v>
      </c>
      <c r="AB10">
        <v>10.51</v>
      </c>
      <c r="AC10" s="18">
        <f>S59</f>
        <v>91.270045450647459</v>
      </c>
      <c r="AD10" s="18">
        <f>T59</f>
        <v>4.8840397448508925</v>
      </c>
    </row>
    <row r="11" spans="1:30" x14ac:dyDescent="0.3">
      <c r="A11" t="s">
        <v>34</v>
      </c>
      <c r="B11" s="2"/>
      <c r="C11" s="2"/>
      <c r="D11" s="2">
        <f t="shared" si="6"/>
        <v>0</v>
      </c>
      <c r="E11" s="2">
        <f t="shared" si="1"/>
        <v>2E-3</v>
      </c>
      <c r="F11" s="2">
        <v>6.8949999999999996</v>
      </c>
      <c r="G11" s="2">
        <v>10</v>
      </c>
      <c r="H11" s="3">
        <f t="shared" si="7"/>
        <v>0</v>
      </c>
      <c r="I11" s="3"/>
      <c r="J11" s="2"/>
      <c r="K11">
        <f t="shared" si="4"/>
        <v>0</v>
      </c>
      <c r="N11" s="4" t="s">
        <v>34</v>
      </c>
      <c r="O11" s="4">
        <v>38.57</v>
      </c>
      <c r="P11" s="4">
        <v>22</v>
      </c>
      <c r="Q11" s="5">
        <f t="shared" si="5"/>
        <v>42.960850401866736</v>
      </c>
      <c r="R11" s="5"/>
      <c r="S11" s="4"/>
      <c r="T11" s="4"/>
    </row>
    <row r="12" spans="1:30" x14ac:dyDescent="0.3">
      <c r="A12" t="s">
        <v>19</v>
      </c>
      <c r="N12" s="6" t="s">
        <v>19</v>
      </c>
      <c r="O12" s="6"/>
      <c r="P12" s="6"/>
      <c r="Q12" s="7" t="e">
        <f>(O12-P12)*100/O12</f>
        <v>#DIV/0!</v>
      </c>
      <c r="R12" s="7"/>
      <c r="S12" s="6"/>
      <c r="T12" s="6"/>
    </row>
    <row r="13" spans="1:30" x14ac:dyDescent="0.3">
      <c r="A13" t="s">
        <v>11</v>
      </c>
      <c r="B13" s="2">
        <v>6.67</v>
      </c>
      <c r="C13" s="2">
        <v>11.13</v>
      </c>
      <c r="D13" s="2">
        <f>(C13-B13)/1000</f>
        <v>4.4600000000000004E-3</v>
      </c>
      <c r="E13" s="2">
        <f>20/(100^2)</f>
        <v>2E-3</v>
      </c>
      <c r="F13" s="2">
        <f>6.895*1.5</f>
        <v>10.342499999999999</v>
      </c>
      <c r="G13" s="2">
        <v>10</v>
      </c>
      <c r="H13" s="3">
        <f>(D13/(E13*(G13/60)))</f>
        <v>13.380000000000003</v>
      </c>
      <c r="I13" s="3">
        <f>AVERAGE(H13:H15)</f>
        <v>19.61</v>
      </c>
      <c r="J13" s="2">
        <f>_xlfn.STDEV.P(H13:H15)</f>
        <v>5.9207938656906549</v>
      </c>
      <c r="K13">
        <f>H13/F13</f>
        <v>1.2936910804931112</v>
      </c>
      <c r="L13" s="3">
        <f>AVERAGE(K13:K15)</f>
        <v>1.8960599468213684</v>
      </c>
      <c r="M13" s="2">
        <f>_xlfn.STDEV.P(K13:K15)</f>
        <v>0.57247221326474673</v>
      </c>
      <c r="N13" s="6" t="s">
        <v>11</v>
      </c>
      <c r="O13" s="6">
        <v>29.63</v>
      </c>
      <c r="P13" s="6">
        <v>5.2</v>
      </c>
      <c r="Q13" s="7">
        <f t="shared" ref="Q13:Q21" si="8">(O13-P13)*100/O13</f>
        <v>82.450219372257848</v>
      </c>
      <c r="R13" s="7"/>
      <c r="S13" s="7">
        <f>AVERAGE(Q13:Q15)</f>
        <v>88.187647654404316</v>
      </c>
      <c r="T13" s="7">
        <f>_xlfn.STDEV.P(Q13:Q15)</f>
        <v>4.684590575690633</v>
      </c>
    </row>
    <row r="14" spans="1:30" x14ac:dyDescent="0.3">
      <c r="A14" t="s">
        <v>12</v>
      </c>
      <c r="B14" s="2">
        <v>6.65</v>
      </c>
      <c r="C14" s="2">
        <v>12.61</v>
      </c>
      <c r="D14" s="2">
        <f t="shared" ref="D14:D15" si="9">(C14-B14)/1000</f>
        <v>5.9599999999999992E-3</v>
      </c>
      <c r="E14" s="2">
        <f t="shared" ref="E14:E21" si="10">20/(100^2)</f>
        <v>2E-3</v>
      </c>
      <c r="F14" s="2">
        <f t="shared" ref="F14:F15" si="11">6.895*1.5</f>
        <v>10.342499999999999</v>
      </c>
      <c r="G14" s="2">
        <v>10</v>
      </c>
      <c r="H14" s="3">
        <f t="shared" ref="H14:H16" si="12">(D14/(E14*(G14/60)))</f>
        <v>17.88</v>
      </c>
      <c r="I14" s="3"/>
      <c r="J14" s="3"/>
      <c r="K14">
        <f t="shared" ref="K14:K21" si="13">H14/F14</f>
        <v>1.7287889775199421</v>
      </c>
      <c r="L14" s="3"/>
      <c r="M14" s="3"/>
      <c r="N14" s="6" t="s">
        <v>12</v>
      </c>
      <c r="O14" s="6">
        <v>29.63</v>
      </c>
      <c r="P14" s="6">
        <v>1.8</v>
      </c>
      <c r="Q14" s="7">
        <f t="shared" si="8"/>
        <v>93.925075936550797</v>
      </c>
      <c r="R14" s="7"/>
      <c r="S14" s="7"/>
      <c r="T14" s="7"/>
    </row>
    <row r="15" spans="1:30" x14ac:dyDescent="0.3">
      <c r="A15" t="s">
        <v>32</v>
      </c>
      <c r="B15" s="2">
        <v>6.68</v>
      </c>
      <c r="C15" s="2">
        <v>15.87</v>
      </c>
      <c r="D15" s="2">
        <f t="shared" si="9"/>
        <v>9.1900000000000003E-3</v>
      </c>
      <c r="E15" s="2">
        <f t="shared" si="10"/>
        <v>2E-3</v>
      </c>
      <c r="F15" s="2">
        <f t="shared" si="11"/>
        <v>10.342499999999999</v>
      </c>
      <c r="G15" s="2">
        <v>10</v>
      </c>
      <c r="H15" s="3">
        <f t="shared" si="12"/>
        <v>27.57</v>
      </c>
      <c r="I15" s="3"/>
      <c r="J15" s="3"/>
      <c r="K15">
        <f t="shared" si="13"/>
        <v>2.6656997824510515</v>
      </c>
      <c r="L15" s="3"/>
      <c r="M15" s="3"/>
      <c r="N15" s="6" t="s">
        <v>32</v>
      </c>
      <c r="O15" s="6">
        <v>29.63</v>
      </c>
      <c r="P15" s="6">
        <v>3.5</v>
      </c>
      <c r="Q15" s="7">
        <f t="shared" si="8"/>
        <v>88.18764765440433</v>
      </c>
      <c r="R15" s="7"/>
      <c r="S15" s="7"/>
      <c r="T15" s="7"/>
    </row>
    <row r="16" spans="1:30" x14ac:dyDescent="0.3">
      <c r="A16" t="s">
        <v>13</v>
      </c>
      <c r="B16" s="2">
        <v>6.69</v>
      </c>
      <c r="C16" s="2">
        <v>12.5</v>
      </c>
      <c r="D16" s="2">
        <f>(C16-B16)/1000</f>
        <v>5.8099999999999992E-3</v>
      </c>
      <c r="E16" s="2">
        <f t="shared" si="10"/>
        <v>2E-3</v>
      </c>
      <c r="F16" s="2">
        <v>6.8949999999999996</v>
      </c>
      <c r="G16" s="2">
        <v>10</v>
      </c>
      <c r="H16" s="3">
        <f t="shared" si="12"/>
        <v>17.43</v>
      </c>
      <c r="I16" s="3">
        <f>AVERAGE(H16:H18)</f>
        <v>22.69</v>
      </c>
      <c r="J16" s="2">
        <f>_xlfn.STDEV.P(H16:H18)</f>
        <v>3.9158396289939956</v>
      </c>
      <c r="K16">
        <f>H16/F16</f>
        <v>2.5279187817258886</v>
      </c>
      <c r="L16" s="3">
        <f>AVERAGE(K16:K18)</f>
        <v>3.2907904278462659</v>
      </c>
      <c r="M16" s="2">
        <f>_xlfn.STDEV.P(K16:K18)</f>
        <v>0.56792452922320891</v>
      </c>
      <c r="N16" s="6" t="s">
        <v>13</v>
      </c>
      <c r="O16" s="6">
        <v>25.8</v>
      </c>
      <c r="P16" s="6">
        <v>1.52</v>
      </c>
      <c r="Q16" s="7">
        <f t="shared" si="8"/>
        <v>94.108527131782949</v>
      </c>
      <c r="R16" s="7"/>
      <c r="S16" s="7">
        <f>AVERAGE(Q16:Q18)</f>
        <v>87.2609819121447</v>
      </c>
      <c r="T16" s="7">
        <f>_xlfn.STDEV.P(Q16:Q18)</f>
        <v>5.6175556078319593</v>
      </c>
    </row>
    <row r="17" spans="1:20" x14ac:dyDescent="0.3">
      <c r="A17" t="s">
        <v>14</v>
      </c>
      <c r="B17" s="2">
        <v>6.69</v>
      </c>
      <c r="C17" s="2">
        <v>15.63</v>
      </c>
      <c r="D17" s="2">
        <f t="shared" ref="D17:D21" si="14">(C17-B17)/1000</f>
        <v>8.9400000000000018E-3</v>
      </c>
      <c r="E17" s="2">
        <f t="shared" si="10"/>
        <v>2E-3</v>
      </c>
      <c r="F17" s="2">
        <v>6.8949999999999996</v>
      </c>
      <c r="G17" s="2">
        <v>10</v>
      </c>
      <c r="H17" s="3">
        <f>(D17/(E17*(G17/60)))</f>
        <v>26.820000000000007</v>
      </c>
      <c r="I17" s="3"/>
      <c r="J17" s="2"/>
      <c r="K17">
        <f t="shared" si="13"/>
        <v>3.8897751994198706</v>
      </c>
      <c r="L17" s="3"/>
      <c r="M17" s="2"/>
      <c r="N17" s="6" t="s">
        <v>14</v>
      </c>
      <c r="O17" s="6">
        <v>25.8</v>
      </c>
      <c r="P17" s="6">
        <v>5.07</v>
      </c>
      <c r="Q17" s="7">
        <f t="shared" si="8"/>
        <v>80.348837209302317</v>
      </c>
      <c r="R17" s="7"/>
      <c r="S17" s="6"/>
      <c r="T17" s="6"/>
    </row>
    <row r="18" spans="1:20" x14ac:dyDescent="0.3">
      <c r="A18" t="s">
        <v>33</v>
      </c>
      <c r="B18" s="2">
        <v>6.68</v>
      </c>
      <c r="C18" s="2">
        <v>14.62</v>
      </c>
      <c r="D18" s="2">
        <f t="shared" si="14"/>
        <v>7.9399999999999991E-3</v>
      </c>
      <c r="E18" s="2">
        <f t="shared" si="10"/>
        <v>2E-3</v>
      </c>
      <c r="F18" s="2">
        <v>6.8949999999999996</v>
      </c>
      <c r="G18" s="2">
        <v>10</v>
      </c>
      <c r="H18" s="3">
        <f>(D18/(E18*(G18/60)))</f>
        <v>23.819999999999997</v>
      </c>
      <c r="I18" s="3"/>
      <c r="J18" s="2"/>
      <c r="K18">
        <f t="shared" si="13"/>
        <v>3.4546773023930384</v>
      </c>
      <c r="L18" s="3"/>
      <c r="M18" s="2"/>
      <c r="N18" s="6" t="s">
        <v>33</v>
      </c>
      <c r="O18" s="6">
        <v>25.8</v>
      </c>
      <c r="P18" s="6">
        <v>3.27</v>
      </c>
      <c r="Q18" s="7">
        <f t="shared" si="8"/>
        <v>87.325581395348834</v>
      </c>
      <c r="R18" s="7"/>
      <c r="S18" s="6"/>
      <c r="T18" s="6"/>
    </row>
    <row r="19" spans="1:20" x14ac:dyDescent="0.3">
      <c r="A19" t="s">
        <v>15</v>
      </c>
      <c r="B19" s="2">
        <v>6.68</v>
      </c>
      <c r="C19" s="2">
        <v>13.62</v>
      </c>
      <c r="D19" s="2">
        <f t="shared" si="14"/>
        <v>6.9399999999999991E-3</v>
      </c>
      <c r="E19" s="2">
        <f t="shared" si="10"/>
        <v>2E-3</v>
      </c>
      <c r="F19" s="2">
        <v>6.8949999999999996</v>
      </c>
      <c r="G19" s="2">
        <v>10</v>
      </c>
      <c r="H19" s="3">
        <f t="shared" ref="H19:H21" si="15">(D19/(E19*(G19/60)))</f>
        <v>20.819999999999997</v>
      </c>
      <c r="I19" s="3">
        <f>AVERAGE(H19:H21)</f>
        <v>16.709999999999997</v>
      </c>
      <c r="J19" s="2">
        <f>_xlfn.STDEV.P(H19:H21)</f>
        <v>12.313626598204122</v>
      </c>
      <c r="K19">
        <f>H19/F19</f>
        <v>3.0195794053662071</v>
      </c>
      <c r="L19" s="3">
        <f>AVERAGE(K19:K21)</f>
        <v>2.423495286439449</v>
      </c>
      <c r="M19" s="2">
        <f>_xlfn.STDEV.P(K19:K21)</f>
        <v>1.7858776792174216</v>
      </c>
      <c r="N19" s="6" t="s">
        <v>15</v>
      </c>
      <c r="O19" s="6">
        <v>38.1</v>
      </c>
      <c r="P19" s="6">
        <v>4.5999999999999996</v>
      </c>
      <c r="Q19" s="7">
        <f t="shared" si="8"/>
        <v>87.926509186351709</v>
      </c>
      <c r="R19" s="7"/>
      <c r="S19" s="7">
        <f>AVERAGE(Q19:Q21)</f>
        <v>83.00087489063867</v>
      </c>
      <c r="T19" s="7">
        <f>_xlfn.STDEV.P(Q19:Q21)</f>
        <v>4.6180470658169002</v>
      </c>
    </row>
    <row r="20" spans="1:20" x14ac:dyDescent="0.3">
      <c r="A20" t="s">
        <v>16</v>
      </c>
      <c r="B20" s="2">
        <v>6.68</v>
      </c>
      <c r="C20" s="2">
        <v>16.45</v>
      </c>
      <c r="D20" s="2">
        <f t="shared" si="14"/>
        <v>9.7699999999999992E-3</v>
      </c>
      <c r="E20" s="2">
        <f t="shared" si="10"/>
        <v>2E-3</v>
      </c>
      <c r="F20" s="2">
        <v>6.8949999999999996</v>
      </c>
      <c r="G20" s="2">
        <v>10</v>
      </c>
      <c r="H20" s="3">
        <f t="shared" si="15"/>
        <v>29.31</v>
      </c>
      <c r="I20" s="3"/>
      <c r="J20" s="2"/>
      <c r="K20">
        <f t="shared" si="13"/>
        <v>4.2509064539521395</v>
      </c>
      <c r="N20" s="6" t="s">
        <v>16</v>
      </c>
      <c r="O20" s="6">
        <v>38.1</v>
      </c>
      <c r="P20" s="6">
        <v>8.83</v>
      </c>
      <c r="Q20" s="7">
        <f t="shared" si="8"/>
        <v>76.824146981627308</v>
      </c>
      <c r="R20" s="7"/>
      <c r="S20" s="6"/>
      <c r="T20" s="6"/>
    </row>
    <row r="21" spans="1:20" x14ac:dyDescent="0.3">
      <c r="A21" t="s">
        <v>34</v>
      </c>
      <c r="B21" s="2"/>
      <c r="C21" s="2"/>
      <c r="D21" s="2">
        <f t="shared" si="14"/>
        <v>0</v>
      </c>
      <c r="E21" s="2">
        <f t="shared" si="10"/>
        <v>2E-3</v>
      </c>
      <c r="F21" s="2">
        <v>6.8949999999999996</v>
      </c>
      <c r="G21" s="2">
        <v>10</v>
      </c>
      <c r="H21" s="3">
        <f t="shared" si="15"/>
        <v>0</v>
      </c>
      <c r="I21" s="3"/>
      <c r="J21" s="2"/>
      <c r="K21">
        <f t="shared" si="13"/>
        <v>0</v>
      </c>
      <c r="N21" s="6" t="s">
        <v>34</v>
      </c>
      <c r="O21" s="6">
        <v>38.1</v>
      </c>
      <c r="P21" s="6">
        <v>6</v>
      </c>
      <c r="Q21" s="7">
        <f t="shared" si="8"/>
        <v>84.251968503937007</v>
      </c>
      <c r="R21" s="7"/>
      <c r="S21" s="6"/>
      <c r="T21" s="6"/>
    </row>
    <row r="22" spans="1:20" x14ac:dyDescent="0.3">
      <c r="A22" t="s">
        <v>18</v>
      </c>
      <c r="N22" s="8" t="s">
        <v>18</v>
      </c>
      <c r="O22" s="8"/>
      <c r="P22" s="8"/>
      <c r="Q22" s="9" t="e">
        <f>(O22-P22)*100/O22</f>
        <v>#DIV/0!</v>
      </c>
      <c r="R22" s="9"/>
      <c r="S22" s="8"/>
      <c r="T22" s="8"/>
    </row>
    <row r="23" spans="1:20" x14ac:dyDescent="0.3">
      <c r="A23" t="s">
        <v>11</v>
      </c>
      <c r="B23" s="2">
        <v>6.69</v>
      </c>
      <c r="C23" s="2">
        <v>11.03</v>
      </c>
      <c r="D23" s="2">
        <f>(C23-B23)/1000</f>
        <v>4.3399999999999992E-3</v>
      </c>
      <c r="E23" s="2">
        <f>20/(100^2)</f>
        <v>2E-3</v>
      </c>
      <c r="F23" s="2">
        <f>6.895*1.5</f>
        <v>10.342499999999999</v>
      </c>
      <c r="G23" s="2">
        <v>10</v>
      </c>
      <c r="H23" s="3">
        <f>(D23/(E23*(G23/60)))</f>
        <v>13.019999999999998</v>
      </c>
      <c r="I23" s="3">
        <f>AVERAGE(H23:H25)</f>
        <v>19.100000000000001</v>
      </c>
      <c r="J23" s="2">
        <f>_xlfn.STDEV.P(H23:H25)</f>
        <v>5.8010171521897771</v>
      </c>
      <c r="K23">
        <f>H23/F23</f>
        <v>1.2588832487309642</v>
      </c>
      <c r="L23" s="3">
        <f>AVERAGE(K23:K25)</f>
        <v>1.8467488518249942</v>
      </c>
      <c r="M23" s="2">
        <f>_xlfn.STDEV.P(K23:K25)</f>
        <v>0.56089119189652292</v>
      </c>
      <c r="N23" s="8" t="s">
        <v>11</v>
      </c>
      <c r="O23" s="8">
        <v>28.29</v>
      </c>
      <c r="P23" s="8">
        <v>3.5</v>
      </c>
      <c r="Q23" s="9">
        <f t="shared" ref="Q23:Q31" si="16">(O23-P23)*100/O23</f>
        <v>87.628137150936723</v>
      </c>
      <c r="R23" s="9"/>
      <c r="S23" s="9">
        <f>AVERAGE(Q23:Q25)</f>
        <v>91.516436903499468</v>
      </c>
      <c r="T23" s="9">
        <f>_xlfn.STDEV.P(Q23:Q25)</f>
        <v>2.9291393648299895</v>
      </c>
    </row>
    <row r="24" spans="1:20" x14ac:dyDescent="0.3">
      <c r="A24" t="s">
        <v>12</v>
      </c>
      <c r="B24" s="2">
        <v>6.71</v>
      </c>
      <c r="C24" s="2">
        <v>12.5</v>
      </c>
      <c r="D24" s="2">
        <f t="shared" ref="D24:D25" si="17">(C24-B24)/1000</f>
        <v>5.79E-3</v>
      </c>
      <c r="E24" s="2">
        <f t="shared" ref="E24:E31" si="18">20/(100^2)</f>
        <v>2E-3</v>
      </c>
      <c r="F24" s="2">
        <f t="shared" ref="F24:F25" si="19">6.895*1.5</f>
        <v>10.342499999999999</v>
      </c>
      <c r="G24" s="2">
        <v>10</v>
      </c>
      <c r="H24" s="3">
        <f t="shared" ref="H24:H26" si="20">(D24/(E24*(G24/60)))</f>
        <v>17.37</v>
      </c>
      <c r="I24" s="3"/>
      <c r="J24" s="3"/>
      <c r="K24">
        <f t="shared" ref="K24:K31" si="21">H24/F24</f>
        <v>1.6794778825235681</v>
      </c>
      <c r="L24" s="3"/>
      <c r="M24" s="3"/>
      <c r="N24" s="8" t="s">
        <v>12</v>
      </c>
      <c r="O24" s="8">
        <v>28.29</v>
      </c>
      <c r="P24" s="8">
        <v>1.5</v>
      </c>
      <c r="Q24" s="9">
        <f t="shared" si="16"/>
        <v>94.697773064687169</v>
      </c>
      <c r="R24" s="9"/>
      <c r="S24" s="9"/>
      <c r="T24" s="9"/>
    </row>
    <row r="25" spans="1:20" x14ac:dyDescent="0.3">
      <c r="A25" t="s">
        <v>32</v>
      </c>
      <c r="B25" s="2">
        <v>6.66</v>
      </c>
      <c r="C25" s="2">
        <v>15.63</v>
      </c>
      <c r="D25" s="2">
        <f t="shared" si="17"/>
        <v>8.9700000000000005E-3</v>
      </c>
      <c r="E25" s="2">
        <f t="shared" si="18"/>
        <v>2E-3</v>
      </c>
      <c r="F25" s="2">
        <f t="shared" si="19"/>
        <v>10.342499999999999</v>
      </c>
      <c r="G25" s="2">
        <v>10</v>
      </c>
      <c r="H25" s="3">
        <f t="shared" si="20"/>
        <v>26.910000000000004</v>
      </c>
      <c r="I25" s="3"/>
      <c r="J25" s="3"/>
      <c r="K25">
        <f t="shared" si="21"/>
        <v>2.6018854242204501</v>
      </c>
      <c r="L25" s="3"/>
      <c r="M25" s="3"/>
      <c r="N25" s="8" t="s">
        <v>32</v>
      </c>
      <c r="O25" s="8">
        <v>28.29</v>
      </c>
      <c r="P25" s="8">
        <v>2.2000000000000002</v>
      </c>
      <c r="Q25" s="9">
        <f t="shared" si="16"/>
        <v>92.223400494874511</v>
      </c>
      <c r="R25" s="9"/>
      <c r="S25" s="9"/>
      <c r="T25" s="9"/>
    </row>
    <row r="26" spans="1:20" x14ac:dyDescent="0.3">
      <c r="A26" t="s">
        <v>13</v>
      </c>
      <c r="B26" s="2">
        <v>6.67</v>
      </c>
      <c r="C26" s="2">
        <v>12.28</v>
      </c>
      <c r="D26" s="2">
        <f>(C26-B26)/1000</f>
        <v>5.6099999999999995E-3</v>
      </c>
      <c r="E26" s="2">
        <f t="shared" si="18"/>
        <v>2E-3</v>
      </c>
      <c r="F26" s="2">
        <v>6.8949999999999996</v>
      </c>
      <c r="G26" s="2">
        <v>10</v>
      </c>
      <c r="H26" s="3">
        <f t="shared" si="20"/>
        <v>16.829999999999998</v>
      </c>
      <c r="I26" s="3">
        <f>AVERAGE(H26:H28)</f>
        <v>21.91</v>
      </c>
      <c r="J26" s="2">
        <f>_xlfn.STDEV.P(H26:H28)</f>
        <v>3.7503066541284333</v>
      </c>
      <c r="K26">
        <f>H26/F26</f>
        <v>2.440899202320522</v>
      </c>
      <c r="L26" s="3">
        <f>AVERAGE(K26:K28)</f>
        <v>3.1776649746192898</v>
      </c>
      <c r="M26" s="2">
        <f>_xlfn.STDEV.P(K26:K28)</f>
        <v>0.54391684613900537</v>
      </c>
      <c r="N26" s="8" t="s">
        <v>13</v>
      </c>
      <c r="O26" s="8">
        <v>22.97</v>
      </c>
      <c r="P26" s="8">
        <v>0.98</v>
      </c>
      <c r="Q26" s="9">
        <f t="shared" si="16"/>
        <v>95.733565520243801</v>
      </c>
      <c r="R26" s="9"/>
      <c r="S26" s="9">
        <f>AVERAGE(Q26:Q28)</f>
        <v>92.74415904803368</v>
      </c>
      <c r="T26" s="9">
        <f>_xlfn.STDEV.P(Q26:Q28)</f>
        <v>3.131565812681798</v>
      </c>
    </row>
    <row r="27" spans="1:20" x14ac:dyDescent="0.3">
      <c r="A27" t="s">
        <v>14</v>
      </c>
      <c r="B27" s="2">
        <v>6.68</v>
      </c>
      <c r="C27" s="2">
        <v>15.27</v>
      </c>
      <c r="D27" s="2">
        <f t="shared" ref="D27:D31" si="22">(C27-B27)/1000</f>
        <v>8.5900000000000004E-3</v>
      </c>
      <c r="E27" s="2">
        <f t="shared" si="18"/>
        <v>2E-3</v>
      </c>
      <c r="F27" s="2">
        <v>6.8949999999999996</v>
      </c>
      <c r="G27" s="2">
        <v>10</v>
      </c>
      <c r="H27" s="3">
        <f>(D27/(E27*(G27/60)))</f>
        <v>25.770000000000003</v>
      </c>
      <c r="I27" s="3"/>
      <c r="J27" s="2"/>
      <c r="K27">
        <f t="shared" si="21"/>
        <v>3.7374909354604795</v>
      </c>
      <c r="L27" s="3"/>
      <c r="M27" s="2"/>
      <c r="N27" s="8" t="s">
        <v>14</v>
      </c>
      <c r="O27" s="8">
        <v>22.97</v>
      </c>
      <c r="P27" s="8">
        <v>2.66</v>
      </c>
      <c r="Q27" s="9">
        <f t="shared" si="16"/>
        <v>88.419677840661734</v>
      </c>
      <c r="R27" s="9"/>
      <c r="S27" s="8"/>
      <c r="T27" s="8"/>
    </row>
    <row r="28" spans="1:20" x14ac:dyDescent="0.3">
      <c r="A28" t="s">
        <v>33</v>
      </c>
      <c r="B28" s="2">
        <v>6.66</v>
      </c>
      <c r="C28" s="2">
        <v>14.37</v>
      </c>
      <c r="D28" s="2">
        <f t="shared" si="22"/>
        <v>7.709999999999999E-3</v>
      </c>
      <c r="E28" s="2">
        <f t="shared" si="18"/>
        <v>2E-3</v>
      </c>
      <c r="F28" s="2">
        <v>6.8949999999999996</v>
      </c>
      <c r="G28" s="2">
        <v>10</v>
      </c>
      <c r="H28" s="3">
        <f>(D28/(E28*(G28/60)))</f>
        <v>23.13</v>
      </c>
      <c r="I28" s="3"/>
      <c r="J28" s="2"/>
      <c r="K28">
        <f t="shared" si="21"/>
        <v>3.3546047860768673</v>
      </c>
      <c r="L28" s="3"/>
      <c r="M28" s="2"/>
      <c r="N28" s="8" t="s">
        <v>33</v>
      </c>
      <c r="O28" s="8">
        <v>22.97</v>
      </c>
      <c r="P28" s="8">
        <v>1.36</v>
      </c>
      <c r="Q28" s="9">
        <f t="shared" si="16"/>
        <v>94.079233783195477</v>
      </c>
      <c r="R28" s="9"/>
      <c r="S28" s="8"/>
      <c r="T28" s="8"/>
    </row>
    <row r="29" spans="1:20" x14ac:dyDescent="0.3">
      <c r="A29" t="s">
        <v>15</v>
      </c>
      <c r="B29" s="2">
        <v>6.69</v>
      </c>
      <c r="C29" s="2">
        <v>13.48</v>
      </c>
      <c r="D29" s="2">
        <f t="shared" si="22"/>
        <v>6.79E-3</v>
      </c>
      <c r="E29" s="2">
        <f t="shared" si="18"/>
        <v>2E-3</v>
      </c>
      <c r="F29" s="2">
        <v>6.8949999999999996</v>
      </c>
      <c r="G29" s="2">
        <v>10</v>
      </c>
      <c r="H29" s="3">
        <f t="shared" ref="H29:H31" si="23">(D29/(E29*(G29/60)))</f>
        <v>20.37</v>
      </c>
      <c r="I29" s="3">
        <f>AVERAGE(H29:H31)</f>
        <v>16.27</v>
      </c>
      <c r="J29" s="2">
        <f>_xlfn.STDEV.P(H29:H31)</f>
        <v>11.967063131779661</v>
      </c>
      <c r="K29">
        <f>H29/F29</f>
        <v>2.9543147208121829</v>
      </c>
      <c r="L29" s="3">
        <f>AVERAGE(K29:K31)</f>
        <v>2.3596809282088471</v>
      </c>
      <c r="M29" s="2">
        <f>_xlfn.STDEV.P(K29:K31)</f>
        <v>1.7356146674082171</v>
      </c>
      <c r="N29" s="8" t="s">
        <v>15</v>
      </c>
      <c r="O29" s="8">
        <v>37.619999999999997</v>
      </c>
      <c r="P29" s="8">
        <v>1.45</v>
      </c>
      <c r="Q29" s="9">
        <f t="shared" si="16"/>
        <v>96.145667198298767</v>
      </c>
      <c r="R29" s="9"/>
      <c r="S29" s="9">
        <f>AVERAGE(Q29:Q31)</f>
        <v>91.281233386496538</v>
      </c>
      <c r="T29" s="9">
        <f>_xlfn.STDEV.P(Q29:Q31)</f>
        <v>4.307915296533646</v>
      </c>
    </row>
    <row r="30" spans="1:20" x14ac:dyDescent="0.3">
      <c r="A30" t="s">
        <v>16</v>
      </c>
      <c r="B30" s="2">
        <v>6.66</v>
      </c>
      <c r="C30" s="2">
        <v>16.14</v>
      </c>
      <c r="D30" s="2">
        <f t="shared" si="22"/>
        <v>9.4800000000000006E-3</v>
      </c>
      <c r="E30" s="2">
        <f t="shared" si="18"/>
        <v>2E-3</v>
      </c>
      <c r="F30" s="2">
        <v>6.8949999999999996</v>
      </c>
      <c r="G30" s="2">
        <v>10</v>
      </c>
      <c r="H30" s="3">
        <f t="shared" si="23"/>
        <v>28.44</v>
      </c>
      <c r="I30" s="3"/>
      <c r="J30" s="2"/>
      <c r="K30">
        <f t="shared" si="21"/>
        <v>4.1247280638143584</v>
      </c>
      <c r="N30" s="8" t="s">
        <v>16</v>
      </c>
      <c r="O30" s="8">
        <v>37.619999999999997</v>
      </c>
      <c r="P30" s="8">
        <v>5.39</v>
      </c>
      <c r="Q30" s="9">
        <f t="shared" si="16"/>
        <v>85.672514619883032</v>
      </c>
      <c r="R30" s="9"/>
      <c r="S30" s="8"/>
      <c r="T30" s="8"/>
    </row>
    <row r="31" spans="1:20" x14ac:dyDescent="0.3">
      <c r="A31" t="s">
        <v>34</v>
      </c>
      <c r="B31" s="2"/>
      <c r="C31" s="2">
        <v>0</v>
      </c>
      <c r="D31" s="2">
        <f t="shared" si="22"/>
        <v>0</v>
      </c>
      <c r="E31" s="2">
        <f t="shared" si="18"/>
        <v>2E-3</v>
      </c>
      <c r="F31" s="2">
        <v>6.8949999999999996</v>
      </c>
      <c r="G31" s="2">
        <v>10</v>
      </c>
      <c r="H31" s="3">
        <f t="shared" si="23"/>
        <v>0</v>
      </c>
      <c r="I31" s="3"/>
      <c r="J31" s="2"/>
      <c r="K31">
        <f t="shared" si="21"/>
        <v>0</v>
      </c>
      <c r="N31" s="8" t="s">
        <v>34</v>
      </c>
      <c r="O31" s="8">
        <v>37.619999999999997</v>
      </c>
      <c r="P31" s="8">
        <v>3</v>
      </c>
      <c r="Q31" s="9">
        <f t="shared" si="16"/>
        <v>92.025518341307816</v>
      </c>
      <c r="R31" s="9"/>
      <c r="S31" s="8"/>
      <c r="T31" s="8"/>
    </row>
    <row r="32" spans="1:20" x14ac:dyDescent="0.3">
      <c r="A32" t="s">
        <v>20</v>
      </c>
      <c r="N32" s="10" t="s">
        <v>20</v>
      </c>
      <c r="O32" s="10"/>
      <c r="P32" s="10"/>
      <c r="Q32" s="11" t="e">
        <f>(O32-P32)*100/O32</f>
        <v>#DIV/0!</v>
      </c>
      <c r="R32" s="11"/>
      <c r="S32" s="10"/>
      <c r="T32" s="10"/>
    </row>
    <row r="33" spans="1:20" x14ac:dyDescent="0.3">
      <c r="A33" t="s">
        <v>11</v>
      </c>
      <c r="B33" s="2">
        <v>6.69</v>
      </c>
      <c r="C33" s="2">
        <v>10.98</v>
      </c>
      <c r="D33" s="2">
        <f>(C33-B33)/1000</f>
        <v>4.2900000000000004E-3</v>
      </c>
      <c r="E33" s="2">
        <f>20/(100^2)</f>
        <v>2E-3</v>
      </c>
      <c r="F33" s="2">
        <f>6.895*1.5</f>
        <v>10.342499999999999</v>
      </c>
      <c r="G33" s="2">
        <v>10</v>
      </c>
      <c r="H33" s="3">
        <f>(D33/(E33*(G33/60)))</f>
        <v>12.870000000000001</v>
      </c>
      <c r="I33" s="3">
        <f>AVERAGE(H33:H35)</f>
        <v>18.920000000000002</v>
      </c>
      <c r="J33" s="2">
        <f>_xlfn.STDEV.P(H33:H35)</f>
        <v>5.7770753846561496</v>
      </c>
      <c r="K33">
        <f>H33/F33</f>
        <v>1.244379985496737</v>
      </c>
      <c r="L33" s="3">
        <f>AVERAGE(K33:K35)</f>
        <v>1.8293449359439211</v>
      </c>
      <c r="M33" s="2">
        <f>_xlfn.STDEV.P(K33:K35)</f>
        <v>0.55857630018430215</v>
      </c>
      <c r="N33" s="10" t="s">
        <v>11</v>
      </c>
      <c r="O33" s="10">
        <v>29.77</v>
      </c>
      <c r="P33" s="10">
        <v>3.3</v>
      </c>
      <c r="Q33" s="11">
        <f t="shared" ref="Q33:Q41" si="24">(O33-P33)*100/O33</f>
        <v>88.91501511588848</v>
      </c>
      <c r="R33" s="11"/>
      <c r="S33" s="11">
        <f>AVERAGE(Q33:Q35)</f>
        <v>92.05016235583922</v>
      </c>
      <c r="T33" s="11">
        <f>_xlfn.STDEV.P(Q33:Q35)</f>
        <v>2.2337853928182758</v>
      </c>
    </row>
    <row r="34" spans="1:20" x14ac:dyDescent="0.3">
      <c r="A34" t="s">
        <v>12</v>
      </c>
      <c r="B34" s="2">
        <v>6.67</v>
      </c>
      <c r="C34" s="2">
        <v>12.4</v>
      </c>
      <c r="D34" s="2">
        <f t="shared" ref="D34:D35" si="25">(C34-B34)/1000</f>
        <v>5.7300000000000007E-3</v>
      </c>
      <c r="E34" s="2">
        <f t="shared" ref="E34:E41" si="26">20/(100^2)</f>
        <v>2E-3</v>
      </c>
      <c r="F34" s="2">
        <f t="shared" ref="F34:F35" si="27">6.895*1.5</f>
        <v>10.342499999999999</v>
      </c>
      <c r="G34" s="2">
        <v>10</v>
      </c>
      <c r="H34" s="3">
        <f t="shared" ref="H34:H36" si="28">(D34/(E34*(G34/60)))</f>
        <v>17.190000000000001</v>
      </c>
      <c r="I34" s="3"/>
      <c r="J34" s="3"/>
      <c r="K34">
        <f t="shared" ref="K34:K41" si="29">H34/F34</f>
        <v>1.6620739666424948</v>
      </c>
      <c r="L34" s="3"/>
      <c r="M34" s="3"/>
      <c r="N34" s="10" t="s">
        <v>12</v>
      </c>
      <c r="O34" s="10">
        <v>29.77</v>
      </c>
      <c r="P34" s="10">
        <v>1.8</v>
      </c>
      <c r="Q34" s="11">
        <f t="shared" si="24"/>
        <v>93.953644608666451</v>
      </c>
      <c r="R34" s="11"/>
      <c r="S34" s="11"/>
      <c r="T34" s="11"/>
    </row>
    <row r="35" spans="1:20" x14ac:dyDescent="0.3">
      <c r="A35" t="s">
        <v>32</v>
      </c>
      <c r="B35" s="2">
        <v>6.68</v>
      </c>
      <c r="C35" s="2">
        <v>15.58</v>
      </c>
      <c r="D35" s="2">
        <f t="shared" si="25"/>
        <v>8.8999999999999999E-3</v>
      </c>
      <c r="E35" s="2">
        <f t="shared" si="26"/>
        <v>2E-3</v>
      </c>
      <c r="F35" s="2">
        <f t="shared" si="27"/>
        <v>10.342499999999999</v>
      </c>
      <c r="G35" s="2">
        <v>10</v>
      </c>
      <c r="H35" s="3">
        <f t="shared" si="28"/>
        <v>26.7</v>
      </c>
      <c r="I35" s="3"/>
      <c r="J35" s="3"/>
      <c r="K35">
        <f t="shared" si="29"/>
        <v>2.5815808556925308</v>
      </c>
      <c r="L35" s="3"/>
      <c r="M35" s="3"/>
      <c r="N35" s="10" t="s">
        <v>32</v>
      </c>
      <c r="O35" s="10">
        <v>29.77</v>
      </c>
      <c r="P35" s="10">
        <v>2</v>
      </c>
      <c r="Q35" s="11">
        <f t="shared" si="24"/>
        <v>93.281827342962714</v>
      </c>
      <c r="R35" s="11"/>
      <c r="S35" s="11"/>
      <c r="T35" s="11"/>
    </row>
    <row r="36" spans="1:20" x14ac:dyDescent="0.3">
      <c r="A36" t="s">
        <v>13</v>
      </c>
      <c r="B36" s="2">
        <v>6.7</v>
      </c>
      <c r="C36" s="2">
        <v>12.14</v>
      </c>
      <c r="D36" s="2">
        <f>(C36-B36)/1000</f>
        <v>5.4400000000000004E-3</v>
      </c>
      <c r="E36" s="2">
        <f t="shared" si="26"/>
        <v>2E-3</v>
      </c>
      <c r="F36" s="2">
        <v>6.8949999999999996</v>
      </c>
      <c r="G36" s="2">
        <v>10</v>
      </c>
      <c r="H36" s="3">
        <f t="shared" si="28"/>
        <v>16.32</v>
      </c>
      <c r="I36" s="3">
        <f>AVERAGE(H36:H38)</f>
        <v>21.39</v>
      </c>
      <c r="J36" s="2">
        <f>_xlfn.STDEV.P(H36:H38)</f>
        <v>3.713300418764951</v>
      </c>
      <c r="K36">
        <f>H36/F36</f>
        <v>2.366932559825961</v>
      </c>
      <c r="L36" s="3">
        <f>AVERAGE(K36:K38)</f>
        <v>3.1022480058013056</v>
      </c>
      <c r="M36" s="2">
        <f>_xlfn.STDEV.P(K36:K38)</f>
        <v>0.53854973441116127</v>
      </c>
      <c r="N36" s="10" t="s">
        <v>13</v>
      </c>
      <c r="O36" s="10">
        <v>29.14</v>
      </c>
      <c r="P36" s="10">
        <v>1.45</v>
      </c>
      <c r="Q36" s="11">
        <f t="shared" si="24"/>
        <v>95.024021962937539</v>
      </c>
      <c r="R36" s="11"/>
      <c r="S36" s="11">
        <f>AVERAGE(Q36:Q38)</f>
        <v>91.054678563257838</v>
      </c>
      <c r="T36" s="11">
        <f>_xlfn.STDEV.P(Q36:Q38)</f>
        <v>3.4647611389308048</v>
      </c>
    </row>
    <row r="37" spans="1:20" x14ac:dyDescent="0.3">
      <c r="A37" t="s">
        <v>14</v>
      </c>
      <c r="B37" s="2">
        <v>6.68</v>
      </c>
      <c r="C37" s="2">
        <v>15.05</v>
      </c>
      <c r="D37" s="2">
        <f t="shared" ref="D37:D41" si="30">(C37-B37)/1000</f>
        <v>8.3700000000000007E-3</v>
      </c>
      <c r="E37" s="2">
        <f t="shared" si="26"/>
        <v>2E-3</v>
      </c>
      <c r="F37" s="2">
        <v>6.8949999999999996</v>
      </c>
      <c r="G37" s="2">
        <v>10</v>
      </c>
      <c r="H37" s="3">
        <f>(D37/(E37*(G37/60)))</f>
        <v>25.110000000000003</v>
      </c>
      <c r="I37" s="3"/>
      <c r="J37" s="2"/>
      <c r="K37">
        <f t="shared" si="29"/>
        <v>3.6417693981145765</v>
      </c>
      <c r="L37" s="3"/>
      <c r="M37" s="2"/>
      <c r="N37" s="10" t="s">
        <v>14</v>
      </c>
      <c r="O37" s="10">
        <v>29.14</v>
      </c>
      <c r="P37" s="10">
        <v>3.91</v>
      </c>
      <c r="Q37" s="11">
        <f t="shared" si="24"/>
        <v>86.582017844886749</v>
      </c>
      <c r="R37" s="11"/>
      <c r="S37" s="10"/>
      <c r="T37" s="10"/>
    </row>
    <row r="38" spans="1:20" x14ac:dyDescent="0.3">
      <c r="A38" t="s">
        <v>33</v>
      </c>
      <c r="B38" s="2">
        <v>6.69</v>
      </c>
      <c r="C38" s="2">
        <v>14.27</v>
      </c>
      <c r="D38" s="2">
        <f t="shared" si="30"/>
        <v>7.5799999999999991E-3</v>
      </c>
      <c r="E38" s="2">
        <f t="shared" si="26"/>
        <v>2E-3</v>
      </c>
      <c r="F38" s="2">
        <v>6.8949999999999996</v>
      </c>
      <c r="G38" s="2">
        <v>10</v>
      </c>
      <c r="H38" s="3">
        <f>(D38/(E38*(G38/60)))</f>
        <v>22.74</v>
      </c>
      <c r="I38" s="3"/>
      <c r="J38" s="2"/>
      <c r="K38">
        <f t="shared" si="29"/>
        <v>3.2980420594633792</v>
      </c>
      <c r="L38" s="3"/>
      <c r="M38" s="2"/>
      <c r="N38" s="10" t="s">
        <v>33</v>
      </c>
      <c r="O38" s="10">
        <v>29.14</v>
      </c>
      <c r="P38" s="10">
        <v>2.46</v>
      </c>
      <c r="Q38" s="11">
        <f t="shared" si="24"/>
        <v>91.557995881949211</v>
      </c>
      <c r="R38" s="11"/>
      <c r="S38" s="10"/>
      <c r="T38" s="10"/>
    </row>
    <row r="39" spans="1:20" x14ac:dyDescent="0.3">
      <c r="A39" t="s">
        <v>15</v>
      </c>
      <c r="B39" s="2">
        <v>6.68</v>
      </c>
      <c r="C39" s="2">
        <v>13.23</v>
      </c>
      <c r="D39" s="2">
        <f t="shared" si="30"/>
        <v>6.5500000000000011E-3</v>
      </c>
      <c r="E39" s="2">
        <f t="shared" si="26"/>
        <v>2E-3</v>
      </c>
      <c r="F39" s="2">
        <v>6.8949999999999996</v>
      </c>
      <c r="G39" s="2">
        <v>10</v>
      </c>
      <c r="H39" s="3">
        <f t="shared" ref="H39:H41" si="31">(D39/(E39*(G39/60)))</f>
        <v>19.650000000000006</v>
      </c>
      <c r="I39" s="3">
        <f>AVERAGE(H39:H41)</f>
        <v>15.730000000000002</v>
      </c>
      <c r="J39" s="2">
        <f>_xlfn.STDEV.P(H39:H41)</f>
        <v>11.579801379989211</v>
      </c>
      <c r="K39">
        <f>H39/F39</f>
        <v>2.8498912255257443</v>
      </c>
      <c r="L39" s="3">
        <f>AVERAGE(K39:K41)</f>
        <v>2.2813633067440175</v>
      </c>
      <c r="M39" s="2">
        <f>_xlfn.STDEV.P(K39:K41)</f>
        <v>1.6794490761405674</v>
      </c>
      <c r="N39" s="10" t="s">
        <v>15</v>
      </c>
      <c r="O39" s="10">
        <v>38.369999999999997</v>
      </c>
      <c r="P39" s="10">
        <v>3.13</v>
      </c>
      <c r="Q39" s="11">
        <f t="shared" si="24"/>
        <v>91.842585353140464</v>
      </c>
      <c r="R39" s="11"/>
      <c r="S39" s="11">
        <f>AVERAGE(Q39:Q41)</f>
        <v>88.020154634697235</v>
      </c>
      <c r="T39" s="11">
        <f>_xlfn.STDEV.P(Q39:Q41)</f>
        <v>3.2287709720790927</v>
      </c>
    </row>
    <row r="40" spans="1:20" x14ac:dyDescent="0.3">
      <c r="A40" t="s">
        <v>16</v>
      </c>
      <c r="B40" s="2">
        <v>6.68</v>
      </c>
      <c r="C40" s="2">
        <v>15.86</v>
      </c>
      <c r="D40" s="2">
        <f t="shared" si="30"/>
        <v>9.1799999999999989E-3</v>
      </c>
      <c r="E40" s="2">
        <f t="shared" si="26"/>
        <v>2E-3</v>
      </c>
      <c r="F40" s="2">
        <v>6.8949999999999996</v>
      </c>
      <c r="G40" s="2">
        <v>10</v>
      </c>
      <c r="H40" s="3">
        <f t="shared" si="31"/>
        <v>27.54</v>
      </c>
      <c r="I40" s="3"/>
      <c r="J40" s="2"/>
      <c r="K40">
        <f t="shared" si="29"/>
        <v>3.9941986947063088</v>
      </c>
      <c r="N40" s="10" t="s">
        <v>16</v>
      </c>
      <c r="O40" s="10">
        <v>38.369999999999997</v>
      </c>
      <c r="P40" s="10">
        <v>6.16</v>
      </c>
      <c r="Q40" s="11">
        <f t="shared" si="24"/>
        <v>83.945790982538441</v>
      </c>
      <c r="R40" s="11"/>
      <c r="S40" s="10"/>
      <c r="T40" s="10"/>
    </row>
    <row r="41" spans="1:20" x14ac:dyDescent="0.3">
      <c r="A41" t="s">
        <v>34</v>
      </c>
      <c r="B41" s="2"/>
      <c r="C41" s="2"/>
      <c r="D41" s="2">
        <f t="shared" si="30"/>
        <v>0</v>
      </c>
      <c r="E41" s="2">
        <f t="shared" si="26"/>
        <v>2E-3</v>
      </c>
      <c r="F41" s="2">
        <v>6.8949999999999996</v>
      </c>
      <c r="G41" s="2">
        <v>10</v>
      </c>
      <c r="H41" s="3">
        <f t="shared" si="31"/>
        <v>0</v>
      </c>
      <c r="I41" s="3"/>
      <c r="J41" s="2"/>
      <c r="K41">
        <f t="shared" si="29"/>
        <v>0</v>
      </c>
      <c r="N41" s="10" t="s">
        <v>34</v>
      </c>
      <c r="O41" s="10">
        <v>38.369999999999997</v>
      </c>
      <c r="P41" s="10">
        <v>4.5</v>
      </c>
      <c r="Q41" s="11">
        <f t="shared" si="24"/>
        <v>88.272087568412815</v>
      </c>
      <c r="R41" s="11"/>
      <c r="S41" s="10"/>
      <c r="T41" s="10"/>
    </row>
    <row r="42" spans="1:20" x14ac:dyDescent="0.3">
      <c r="A42" t="s">
        <v>21</v>
      </c>
      <c r="N42" s="12" t="s">
        <v>21</v>
      </c>
      <c r="O42" s="12"/>
      <c r="P42" s="12"/>
      <c r="Q42" s="13" t="e">
        <f>(O42-P42)*100/O42</f>
        <v>#DIV/0!</v>
      </c>
      <c r="R42" s="13"/>
      <c r="S42" s="12"/>
      <c r="T42" s="12"/>
    </row>
    <row r="43" spans="1:20" x14ac:dyDescent="0.3">
      <c r="A43" t="s">
        <v>11</v>
      </c>
      <c r="B43" s="2">
        <v>6.69</v>
      </c>
      <c r="C43" s="2">
        <v>10.94</v>
      </c>
      <c r="D43" s="2">
        <f>(C43-B43)/1000</f>
        <v>4.2499999999999994E-3</v>
      </c>
      <c r="E43" s="2">
        <f>20/(100^2)</f>
        <v>2E-3</v>
      </c>
      <c r="F43" s="2">
        <f>6.895*1.5</f>
        <v>10.342499999999999</v>
      </c>
      <c r="G43" s="2">
        <v>10</v>
      </c>
      <c r="H43" s="3">
        <f>(D43/(E43*(G43/60)))</f>
        <v>12.749999999999998</v>
      </c>
      <c r="I43" s="3">
        <f>AVERAGE(H43:H45)</f>
        <v>18.72</v>
      </c>
      <c r="J43" s="2">
        <f>_xlfn.STDEV.P(H43:H45)</f>
        <v>5.802085831836691</v>
      </c>
      <c r="K43">
        <f>H43/F43</f>
        <v>1.2327773749093545</v>
      </c>
      <c r="L43" s="3">
        <f>AVERAGE(K43:K45)</f>
        <v>1.8100072516316172</v>
      </c>
      <c r="M43" s="2">
        <f>_xlfn.STDEV.P(K43:K45)</f>
        <v>0.560994520844736</v>
      </c>
      <c r="N43" s="12" t="s">
        <v>11</v>
      </c>
      <c r="O43" s="12">
        <v>30.82</v>
      </c>
      <c r="P43" s="12">
        <v>2.1</v>
      </c>
      <c r="Q43" s="13">
        <f t="shared" ref="Q43:Q51" si="32">(O43-P43)*100/O43</f>
        <v>93.186242699545744</v>
      </c>
      <c r="R43" s="13"/>
      <c r="S43" s="13">
        <f>AVERAGE(Q43:Q45)</f>
        <v>94.051481721825652</v>
      </c>
      <c r="T43" s="13">
        <f>_xlfn.STDEV.P(Q43:Q45)</f>
        <v>0.66671144310717811</v>
      </c>
    </row>
    <row r="44" spans="1:20" x14ac:dyDescent="0.3">
      <c r="A44" t="s">
        <v>12</v>
      </c>
      <c r="B44" s="2">
        <v>6.65</v>
      </c>
      <c r="C44" s="2">
        <v>12.26</v>
      </c>
      <c r="D44" s="2">
        <f t="shared" ref="D44:D45" si="33">(C44-B44)/1000</f>
        <v>5.6099999999999995E-3</v>
      </c>
      <c r="E44" s="2">
        <f t="shared" ref="E44:E51" si="34">20/(100^2)</f>
        <v>2E-3</v>
      </c>
      <c r="F44" s="2">
        <f t="shared" ref="F44:F45" si="35">6.895*1.5</f>
        <v>10.342499999999999</v>
      </c>
      <c r="G44" s="2">
        <v>10</v>
      </c>
      <c r="H44" s="3">
        <f t="shared" ref="H44:H46" si="36">(D44/(E44*(G44/60)))</f>
        <v>16.829999999999998</v>
      </c>
      <c r="I44" s="3"/>
      <c r="J44" s="3"/>
      <c r="K44">
        <f t="shared" ref="K44:K51" si="37">H44/F44</f>
        <v>1.6272661348803481</v>
      </c>
      <c r="L44" s="3"/>
      <c r="M44" s="3"/>
      <c r="N44" s="12" t="s">
        <v>12</v>
      </c>
      <c r="O44" s="12">
        <v>30.82</v>
      </c>
      <c r="P44" s="12">
        <v>1.6</v>
      </c>
      <c r="Q44" s="13">
        <f t="shared" si="32"/>
        <v>94.808565866320563</v>
      </c>
      <c r="R44" s="13"/>
      <c r="S44" s="13"/>
      <c r="T44" s="13"/>
    </row>
    <row r="45" spans="1:20" x14ac:dyDescent="0.3">
      <c r="A45" t="s">
        <v>32</v>
      </c>
      <c r="B45" s="2">
        <v>6.67</v>
      </c>
      <c r="C45" s="2">
        <v>15.53</v>
      </c>
      <c r="D45" s="2">
        <f t="shared" si="33"/>
        <v>8.8599999999999998E-3</v>
      </c>
      <c r="E45" s="2">
        <f t="shared" si="34"/>
        <v>2E-3</v>
      </c>
      <c r="F45" s="2">
        <f t="shared" si="35"/>
        <v>10.342499999999999</v>
      </c>
      <c r="G45" s="2">
        <v>10</v>
      </c>
      <c r="H45" s="3">
        <f t="shared" si="36"/>
        <v>26.580000000000002</v>
      </c>
      <c r="I45" s="3"/>
      <c r="J45" s="3"/>
      <c r="K45">
        <f t="shared" si="37"/>
        <v>2.5699782451051489</v>
      </c>
      <c r="L45" s="3"/>
      <c r="M45" s="3"/>
      <c r="N45" s="12" t="s">
        <v>32</v>
      </c>
      <c r="O45" s="12">
        <v>30.82</v>
      </c>
      <c r="P45" s="12">
        <v>1.8</v>
      </c>
      <c r="Q45" s="13">
        <f t="shared" si="32"/>
        <v>94.159636599610636</v>
      </c>
      <c r="R45" s="13"/>
      <c r="S45" s="13"/>
      <c r="T45" s="13"/>
    </row>
    <row r="46" spans="1:20" x14ac:dyDescent="0.3">
      <c r="A46" t="s">
        <v>13</v>
      </c>
      <c r="B46" s="2">
        <v>6.68</v>
      </c>
      <c r="C46" s="2">
        <v>12.09</v>
      </c>
      <c r="D46" s="2">
        <f>(C46-B46)/1000</f>
        <v>5.4099999999999999E-3</v>
      </c>
      <c r="E46" s="2">
        <f t="shared" si="34"/>
        <v>2E-3</v>
      </c>
      <c r="F46" s="2">
        <v>6.8949999999999996</v>
      </c>
      <c r="G46" s="2">
        <v>10</v>
      </c>
      <c r="H46" s="3">
        <f t="shared" si="36"/>
        <v>16.23</v>
      </c>
      <c r="I46" s="3">
        <f>AVERAGE(H46:H48)</f>
        <v>21.320000000000004</v>
      </c>
      <c r="J46" s="2">
        <f>_xlfn.STDEV.P(H46:H48)</f>
        <v>3.7535849530815057</v>
      </c>
      <c r="K46">
        <f>H46/F46</f>
        <v>2.353879622915156</v>
      </c>
      <c r="L46" s="3">
        <f>AVERAGE(K46:K48)</f>
        <v>3.0920957215373459</v>
      </c>
      <c r="M46" s="2">
        <f>_xlfn.STDEV.P(K46:K48)</f>
        <v>0.54439230646577574</v>
      </c>
      <c r="N46" s="12" t="s">
        <v>13</v>
      </c>
      <c r="O46" s="12">
        <v>30.22</v>
      </c>
      <c r="P46" s="12">
        <v>1.48</v>
      </c>
      <c r="Q46" s="13">
        <f t="shared" si="32"/>
        <v>95.102581072137667</v>
      </c>
      <c r="R46" s="13"/>
      <c r="S46" s="13">
        <f>AVERAGE(Q46:Q48)</f>
        <v>93.08405029781602</v>
      </c>
      <c r="T46" s="13">
        <f>_xlfn.STDEV.P(Q46:Q48)</f>
        <v>2.7384735748836153</v>
      </c>
    </row>
    <row r="47" spans="1:20" x14ac:dyDescent="0.3">
      <c r="A47" t="s">
        <v>14</v>
      </c>
      <c r="B47" s="2">
        <v>6.68</v>
      </c>
      <c r="C47" s="2">
        <v>15.07</v>
      </c>
      <c r="D47" s="2">
        <f t="shared" ref="D47:D51" si="38">(C47-B47)/1000</f>
        <v>8.3899999999999999E-3</v>
      </c>
      <c r="E47" s="2">
        <f t="shared" si="34"/>
        <v>2E-3</v>
      </c>
      <c r="F47" s="2">
        <v>6.8949999999999996</v>
      </c>
      <c r="G47" s="2">
        <v>10</v>
      </c>
      <c r="H47" s="3">
        <f>(D47/(E47*(G47/60)))</f>
        <v>25.17</v>
      </c>
      <c r="I47" s="3"/>
      <c r="J47" s="2"/>
      <c r="K47">
        <f t="shared" si="37"/>
        <v>3.650471356055113</v>
      </c>
      <c r="L47" s="3"/>
      <c r="M47" s="2"/>
      <c r="N47" s="12" t="s">
        <v>14</v>
      </c>
      <c r="O47" s="12">
        <v>30.22</v>
      </c>
      <c r="P47" s="12">
        <v>3.26</v>
      </c>
      <c r="Q47" s="13">
        <f t="shared" si="32"/>
        <v>89.212442091330246</v>
      </c>
      <c r="R47" s="13"/>
      <c r="S47" s="12"/>
      <c r="T47" s="12"/>
    </row>
    <row r="48" spans="1:20" x14ac:dyDescent="0.3">
      <c r="A48" t="s">
        <v>33</v>
      </c>
      <c r="B48" s="2">
        <v>6.66</v>
      </c>
      <c r="C48" s="2">
        <v>14.18</v>
      </c>
      <c r="D48" s="2">
        <f t="shared" si="38"/>
        <v>7.5199999999999998E-3</v>
      </c>
      <c r="E48" s="2">
        <f t="shared" si="34"/>
        <v>2E-3</v>
      </c>
      <c r="F48" s="2">
        <v>6.8949999999999996</v>
      </c>
      <c r="G48" s="2">
        <v>10</v>
      </c>
      <c r="H48" s="3">
        <f>(D48/(E48*(G48/60)))</f>
        <v>22.56</v>
      </c>
      <c r="I48" s="3"/>
      <c r="J48" s="2"/>
      <c r="K48">
        <f t="shared" si="37"/>
        <v>3.2719361856417692</v>
      </c>
      <c r="L48" s="3"/>
      <c r="M48" s="2"/>
      <c r="N48" s="12" t="s">
        <v>33</v>
      </c>
      <c r="O48" s="12">
        <v>30.22</v>
      </c>
      <c r="P48" s="12">
        <v>1.53</v>
      </c>
      <c r="Q48" s="13">
        <f t="shared" si="32"/>
        <v>94.937127729980148</v>
      </c>
      <c r="R48" s="13"/>
      <c r="S48" s="12"/>
      <c r="T48" s="12"/>
    </row>
    <row r="49" spans="1:20" x14ac:dyDescent="0.3">
      <c r="A49" t="s">
        <v>15</v>
      </c>
      <c r="B49" s="2">
        <v>6.67</v>
      </c>
      <c r="C49" s="2">
        <v>13.49</v>
      </c>
      <c r="D49" s="2">
        <f t="shared" si="38"/>
        <v>6.8200000000000005E-3</v>
      </c>
      <c r="E49" s="2">
        <f t="shared" si="34"/>
        <v>2E-3</v>
      </c>
      <c r="F49" s="2">
        <v>6.8949999999999996</v>
      </c>
      <c r="G49" s="2">
        <v>10</v>
      </c>
      <c r="H49" s="3">
        <f t="shared" ref="H49:H51" si="39">(D49/(E49*(G49/60)))</f>
        <v>20.46</v>
      </c>
      <c r="I49" s="3">
        <f>AVERAGE(H49:H51)</f>
        <v>16.5</v>
      </c>
      <c r="J49" s="2">
        <f>_xlfn.STDEV.P(H49:H51)</f>
        <v>12.181724015918272</v>
      </c>
      <c r="K49">
        <f>H49/F49</f>
        <v>2.9673676577229879</v>
      </c>
      <c r="L49" s="3">
        <f>AVERAGE(K49:K51)</f>
        <v>2.3930384336475705</v>
      </c>
      <c r="M49" s="2">
        <f>_xlfn.STDEV.P(K49:K51)</f>
        <v>1.7667475004957611</v>
      </c>
      <c r="N49" s="12" t="s">
        <v>15</v>
      </c>
      <c r="O49" s="12">
        <v>38.520000000000003</v>
      </c>
      <c r="P49" s="12">
        <v>1.5</v>
      </c>
      <c r="Q49" s="13">
        <f t="shared" si="32"/>
        <v>96.105919003115275</v>
      </c>
      <c r="R49" s="13"/>
      <c r="S49" s="13">
        <f>AVERAGE(Q49:Q51)</f>
        <v>90.533056420906902</v>
      </c>
      <c r="T49" s="13">
        <f>_xlfn.STDEV.P(Q49:Q51)</f>
        <v>4.7133614616715143</v>
      </c>
    </row>
    <row r="50" spans="1:20" x14ac:dyDescent="0.3">
      <c r="A50" t="s">
        <v>16</v>
      </c>
      <c r="B50" s="2">
        <v>6.68</v>
      </c>
      <c r="C50" s="2">
        <v>16.36</v>
      </c>
      <c r="D50" s="2">
        <f t="shared" si="38"/>
        <v>9.6799999999999994E-3</v>
      </c>
      <c r="E50" s="2">
        <f t="shared" si="34"/>
        <v>2E-3</v>
      </c>
      <c r="F50" s="2">
        <v>6.8949999999999996</v>
      </c>
      <c r="G50" s="2">
        <v>10</v>
      </c>
      <c r="H50" s="3">
        <f t="shared" si="39"/>
        <v>29.04</v>
      </c>
      <c r="I50" s="3"/>
      <c r="J50" s="2"/>
      <c r="K50">
        <f t="shared" si="37"/>
        <v>4.2117476432197245</v>
      </c>
      <c r="N50" s="12" t="s">
        <v>16</v>
      </c>
      <c r="O50" s="12">
        <v>38.520000000000003</v>
      </c>
      <c r="P50" s="12">
        <v>5.94</v>
      </c>
      <c r="Q50" s="13">
        <f t="shared" si="32"/>
        <v>84.579439252336456</v>
      </c>
      <c r="R50" s="13"/>
      <c r="S50" s="12"/>
      <c r="T50" s="12"/>
    </row>
    <row r="51" spans="1:20" x14ac:dyDescent="0.3">
      <c r="A51" t="s">
        <v>34</v>
      </c>
      <c r="B51" s="2"/>
      <c r="C51" s="2"/>
      <c r="D51" s="2">
        <f t="shared" si="38"/>
        <v>0</v>
      </c>
      <c r="E51" s="2">
        <f t="shared" si="34"/>
        <v>2E-3</v>
      </c>
      <c r="F51" s="2">
        <v>6.8949999999999996</v>
      </c>
      <c r="G51" s="2">
        <v>10</v>
      </c>
      <c r="H51" s="3">
        <f t="shared" si="39"/>
        <v>0</v>
      </c>
      <c r="I51" s="3"/>
      <c r="J51" s="2"/>
      <c r="K51">
        <f t="shared" si="37"/>
        <v>0</v>
      </c>
      <c r="N51" s="12" t="s">
        <v>34</v>
      </c>
      <c r="O51" s="12">
        <v>38.520000000000003</v>
      </c>
      <c r="P51" s="12">
        <v>3.5</v>
      </c>
      <c r="Q51" s="13">
        <f t="shared" si="32"/>
        <v>90.913811007268961</v>
      </c>
      <c r="R51" s="13"/>
      <c r="S51" s="12"/>
      <c r="T51" s="12"/>
    </row>
    <row r="52" spans="1:20" x14ac:dyDescent="0.3">
      <c r="A52" t="s">
        <v>22</v>
      </c>
      <c r="N52" s="14" t="s">
        <v>22</v>
      </c>
      <c r="O52" s="14"/>
      <c r="P52" s="14"/>
      <c r="Q52" s="15" t="e">
        <f>(O52-P52)*100/O52</f>
        <v>#DIV/0!</v>
      </c>
      <c r="R52" s="15"/>
      <c r="S52" s="14"/>
      <c r="T52" s="14"/>
    </row>
    <row r="53" spans="1:20" x14ac:dyDescent="0.3">
      <c r="A53" t="s">
        <v>11</v>
      </c>
      <c r="B53" s="2">
        <v>6.63</v>
      </c>
      <c r="C53" s="2">
        <v>10.96</v>
      </c>
      <c r="D53" s="2">
        <f>(C53-B53)/1000</f>
        <v>4.3300000000000014E-3</v>
      </c>
      <c r="E53" s="2">
        <f>20/(100^2)</f>
        <v>2E-3</v>
      </c>
      <c r="F53" s="2">
        <f>6.895*1.5</f>
        <v>10.342499999999999</v>
      </c>
      <c r="G53" s="2">
        <v>10</v>
      </c>
      <c r="H53" s="3">
        <f>(D53/(E53*(G53/60)))</f>
        <v>12.990000000000004</v>
      </c>
      <c r="I53" s="3">
        <f>AVERAGE(H53:H55)</f>
        <v>19.020000000000003</v>
      </c>
      <c r="J53" s="2">
        <f>_xlfn.STDEV.P(H53:H55)</f>
        <v>5.8665662870200288</v>
      </c>
      <c r="K53">
        <f>H53/F53</f>
        <v>1.2559825960841193</v>
      </c>
      <c r="L53" s="3">
        <f>AVERAGE(K53:K55)</f>
        <v>1.8390137781000728</v>
      </c>
      <c r="M53" s="2">
        <f>_xlfn.STDEV.P(K53:K55)</f>
        <v>0.56722903427798288</v>
      </c>
      <c r="N53" s="14" t="s">
        <v>11</v>
      </c>
      <c r="O53" s="14">
        <v>32.03</v>
      </c>
      <c r="P53" s="14">
        <v>2.4</v>
      </c>
      <c r="Q53" s="15">
        <f t="shared" ref="Q53:Q61" si="40">(O53-P53)*100/O53</f>
        <v>92.507024664377155</v>
      </c>
      <c r="R53" s="15"/>
      <c r="S53" s="15">
        <f>AVERAGE(Q53:Q55)</f>
        <v>94.380268498282859</v>
      </c>
      <c r="T53" s="15">
        <f>_xlfn.STDEV.P(Q53:Q55)</f>
        <v>1.4193133205313571</v>
      </c>
    </row>
    <row r="54" spans="1:20" x14ac:dyDescent="0.3">
      <c r="A54" t="s">
        <v>12</v>
      </c>
      <c r="B54" s="2">
        <v>6.68</v>
      </c>
      <c r="C54" s="2">
        <v>12.38</v>
      </c>
      <c r="D54" s="2">
        <f>(C54-B54)/1000</f>
        <v>5.7000000000000011E-3</v>
      </c>
      <c r="E54" s="2">
        <f t="shared" ref="E54:E61" si="41">20/(100^2)</f>
        <v>2E-3</v>
      </c>
      <c r="F54" s="2">
        <f t="shared" ref="F54:F55" si="42">6.895*1.5</f>
        <v>10.342499999999999</v>
      </c>
      <c r="G54" s="2">
        <v>10</v>
      </c>
      <c r="H54" s="3">
        <f>(D54/(E54*(G54/60)))</f>
        <v>17.100000000000005</v>
      </c>
      <c r="I54" s="3"/>
      <c r="J54" s="3"/>
      <c r="K54">
        <f>H54/F54</f>
        <v>1.6533720087019586</v>
      </c>
      <c r="L54" s="3"/>
      <c r="M54" s="3"/>
      <c r="N54" s="14" t="s">
        <v>12</v>
      </c>
      <c r="O54" s="14">
        <v>32.03</v>
      </c>
      <c r="P54" s="14">
        <v>1.3</v>
      </c>
      <c r="Q54" s="15">
        <f t="shared" si="40"/>
        <v>95.94130502653762</v>
      </c>
      <c r="R54" s="15"/>
      <c r="S54" s="15"/>
      <c r="T54" s="15"/>
    </row>
    <row r="55" spans="1:20" x14ac:dyDescent="0.3">
      <c r="A55" t="s">
        <v>32</v>
      </c>
      <c r="B55" s="2">
        <v>6.67</v>
      </c>
      <c r="C55" s="2">
        <v>15.66</v>
      </c>
      <c r="D55" s="2">
        <f>(C55-B55)/1000</f>
        <v>8.9899999999999997E-3</v>
      </c>
      <c r="E55" s="2">
        <f t="shared" si="41"/>
        <v>2E-3</v>
      </c>
      <c r="F55" s="2">
        <f t="shared" si="42"/>
        <v>10.342499999999999</v>
      </c>
      <c r="G55" s="2">
        <v>10</v>
      </c>
      <c r="H55" s="3">
        <f>(D55/(E55*(G55/60)))</f>
        <v>26.97</v>
      </c>
      <c r="I55" s="3"/>
      <c r="J55" s="3"/>
      <c r="K55">
        <f>H55/F55</f>
        <v>2.6076867295141408</v>
      </c>
      <c r="L55" s="3"/>
      <c r="M55" s="3"/>
      <c r="N55" s="14" t="s">
        <v>32</v>
      </c>
      <c r="O55" s="14">
        <v>32.03</v>
      </c>
      <c r="P55" s="14">
        <v>1.7</v>
      </c>
      <c r="Q55" s="15">
        <f t="shared" si="40"/>
        <v>94.692475803933803</v>
      </c>
      <c r="R55" s="15"/>
      <c r="S55" s="15"/>
      <c r="T55" s="15"/>
    </row>
    <row r="56" spans="1:20" x14ac:dyDescent="0.3">
      <c r="A56" t="s">
        <v>13</v>
      </c>
      <c r="B56" s="2">
        <v>6.64</v>
      </c>
      <c r="C56" s="2">
        <v>12.37</v>
      </c>
      <c r="D56" s="2">
        <f>(C56-B56)/1000</f>
        <v>5.7299999999999999E-3</v>
      </c>
      <c r="E56" s="2">
        <f t="shared" si="41"/>
        <v>2E-3</v>
      </c>
      <c r="F56" s="2">
        <v>6.8949999999999996</v>
      </c>
      <c r="G56" s="2">
        <v>10</v>
      </c>
      <c r="H56" s="3">
        <f t="shared" ref="H56" si="43">(D56/(E56*(G56/60)))</f>
        <v>17.190000000000001</v>
      </c>
      <c r="I56" s="3">
        <f>AVERAGE(H56:H58)</f>
        <v>22.53</v>
      </c>
      <c r="J56" s="2">
        <f>_xlfn.STDEV.P(H56:H58)</f>
        <v>3.9201020394882566</v>
      </c>
      <c r="K56">
        <f>H56/F56</f>
        <v>2.4931109499637421</v>
      </c>
      <c r="L56" s="3">
        <f>AVERAGE(K56:K58)</f>
        <v>3.2675852066715017</v>
      </c>
      <c r="M56" s="2">
        <f>_xlfn.STDEV.P(K56:K58)</f>
        <v>0.5685427178373087</v>
      </c>
      <c r="N56" s="14" t="s">
        <v>13</v>
      </c>
      <c r="O56" s="14">
        <v>31.31</v>
      </c>
      <c r="P56" s="14">
        <v>1.36</v>
      </c>
      <c r="Q56" s="15">
        <f t="shared" si="40"/>
        <v>95.656339827531141</v>
      </c>
      <c r="R56" s="15"/>
      <c r="S56" s="15">
        <f>AVERAGE(Q56:Q58)</f>
        <v>93.452571063557969</v>
      </c>
      <c r="T56" s="15">
        <f>_xlfn.STDEV.P(Q56:Q58)</f>
        <v>2.7631417452475837</v>
      </c>
    </row>
    <row r="57" spans="1:20" x14ac:dyDescent="0.3">
      <c r="A57" t="s">
        <v>14</v>
      </c>
      <c r="B57" s="2">
        <v>6.67</v>
      </c>
      <c r="C57" s="2">
        <v>15.5</v>
      </c>
      <c r="D57" s="2">
        <f t="shared" ref="D57:D61" si="44">(C57-B57)/1000</f>
        <v>8.8299999999999993E-3</v>
      </c>
      <c r="E57" s="2">
        <f t="shared" si="41"/>
        <v>2E-3</v>
      </c>
      <c r="F57" s="2">
        <v>6.8949999999999996</v>
      </c>
      <c r="G57" s="2">
        <v>10</v>
      </c>
      <c r="H57" s="3">
        <f>(D57/(E57*(G57/60)))</f>
        <v>26.49</v>
      </c>
      <c r="I57" s="3"/>
      <c r="J57" s="2"/>
      <c r="K57">
        <f t="shared" ref="K57:K60" si="45">H57/F57</f>
        <v>3.8419144307469182</v>
      </c>
      <c r="L57" s="3"/>
      <c r="M57" s="2"/>
      <c r="N57" s="14" t="s">
        <v>14</v>
      </c>
      <c r="O57" s="14">
        <v>31.31</v>
      </c>
      <c r="P57" s="14">
        <v>3.27</v>
      </c>
      <c r="Q57" s="15">
        <f t="shared" si="40"/>
        <v>89.556052379431492</v>
      </c>
      <c r="R57" s="15"/>
      <c r="S57" s="14"/>
      <c r="T57" s="14"/>
    </row>
    <row r="58" spans="1:20" x14ac:dyDescent="0.3">
      <c r="A58" t="s">
        <v>33</v>
      </c>
      <c r="B58" s="2">
        <v>6.68</v>
      </c>
      <c r="C58" s="2">
        <v>14.65</v>
      </c>
      <c r="D58" s="2">
        <f t="shared" si="44"/>
        <v>7.9700000000000014E-3</v>
      </c>
      <c r="E58" s="2">
        <f t="shared" si="41"/>
        <v>2E-3</v>
      </c>
      <c r="F58" s="2">
        <v>6.8949999999999996</v>
      </c>
      <c r="G58" s="2">
        <v>10</v>
      </c>
      <c r="H58" s="3">
        <f>(D58/(E58*(G58/60)))</f>
        <v>23.910000000000004</v>
      </c>
      <c r="I58" s="3"/>
      <c r="J58" s="2"/>
      <c r="K58">
        <f t="shared" si="45"/>
        <v>3.4677302393038443</v>
      </c>
      <c r="L58" s="3"/>
      <c r="M58" s="2"/>
      <c r="N58" s="14" t="s">
        <v>33</v>
      </c>
      <c r="O58" s="14">
        <v>31.31</v>
      </c>
      <c r="P58" s="14">
        <v>1.52</v>
      </c>
      <c r="Q58" s="15">
        <f t="shared" si="40"/>
        <v>95.145320983711272</v>
      </c>
      <c r="R58" s="15"/>
      <c r="S58" s="14"/>
      <c r="T58" s="14"/>
    </row>
    <row r="59" spans="1:20" x14ac:dyDescent="0.3">
      <c r="A59" t="s">
        <v>15</v>
      </c>
      <c r="B59" s="2">
        <v>6.67</v>
      </c>
      <c r="C59" s="2">
        <v>13.66</v>
      </c>
      <c r="D59" s="2">
        <f t="shared" si="44"/>
        <v>6.9900000000000006E-3</v>
      </c>
      <c r="E59" s="2">
        <f t="shared" si="41"/>
        <v>2E-3</v>
      </c>
      <c r="F59" s="2">
        <v>6.8949999999999996</v>
      </c>
      <c r="G59" s="2">
        <v>10</v>
      </c>
      <c r="H59" s="3">
        <f t="shared" ref="H59:H61" si="46">(D59/(E59*(G59/60)))</f>
        <v>20.970000000000002</v>
      </c>
      <c r="I59" s="3">
        <f>AVERAGE(H59:H61)</f>
        <v>16.91</v>
      </c>
      <c r="J59" s="2">
        <f>_xlfn.STDEV.P(H59:H61)</f>
        <v>12.484045818563786</v>
      </c>
      <c r="K59">
        <f>H59/F59</f>
        <v>3.0413343002175495</v>
      </c>
      <c r="L59" s="3">
        <f>AVERAGE(K59:K61)</f>
        <v>3.6787527193618565</v>
      </c>
      <c r="M59" s="2">
        <f>_xlfn.STDEV.P(K59:K61)</f>
        <v>0.63741841914430686</v>
      </c>
      <c r="N59" s="14" t="s">
        <v>15</v>
      </c>
      <c r="O59" s="14">
        <v>38.869999999999997</v>
      </c>
      <c r="P59" s="14">
        <v>1.29</v>
      </c>
      <c r="Q59" s="15">
        <f t="shared" si="40"/>
        <v>96.681245176228458</v>
      </c>
      <c r="R59" s="15"/>
      <c r="S59" s="15">
        <f>AVERAGE(Q59:Q61)</f>
        <v>91.270045450647459</v>
      </c>
      <c r="T59" s="15">
        <f>_xlfn.STDEV.P(Q59:Q61)</f>
        <v>4.8840397448508925</v>
      </c>
    </row>
    <row r="60" spans="1:20" x14ac:dyDescent="0.3">
      <c r="A60" t="s">
        <v>16</v>
      </c>
      <c r="B60" s="2">
        <v>6.69</v>
      </c>
      <c r="C60" s="2">
        <v>16.61</v>
      </c>
      <c r="D60" s="2">
        <f t="shared" si="44"/>
        <v>9.9199999999999983E-3</v>
      </c>
      <c r="E60" s="2">
        <f t="shared" si="41"/>
        <v>2E-3</v>
      </c>
      <c r="F60" s="2">
        <v>6.8949999999999996</v>
      </c>
      <c r="G60" s="2">
        <v>10</v>
      </c>
      <c r="H60" s="3">
        <f t="shared" si="46"/>
        <v>29.759999999999994</v>
      </c>
      <c r="I60" s="3"/>
      <c r="J60" s="2"/>
      <c r="K60">
        <f t="shared" si="45"/>
        <v>4.3161711385061636</v>
      </c>
      <c r="N60" s="14" t="s">
        <v>16</v>
      </c>
      <c r="O60" s="14">
        <v>38.869999999999997</v>
      </c>
      <c r="P60" s="14">
        <v>5.89</v>
      </c>
      <c r="Q60" s="15">
        <f t="shared" si="40"/>
        <v>84.846925649601232</v>
      </c>
      <c r="R60" s="15"/>
      <c r="S60" s="14"/>
      <c r="T60" s="14"/>
    </row>
    <row r="61" spans="1:20" x14ac:dyDescent="0.3">
      <c r="A61" t="s">
        <v>34</v>
      </c>
      <c r="B61" s="2"/>
      <c r="C61" s="2"/>
      <c r="D61" s="2">
        <f t="shared" si="44"/>
        <v>0</v>
      </c>
      <c r="E61" s="2">
        <f t="shared" si="41"/>
        <v>2E-3</v>
      </c>
      <c r="F61" s="2">
        <v>6.8949999999999996</v>
      </c>
      <c r="G61" s="2">
        <v>10</v>
      </c>
      <c r="H61" s="3">
        <f t="shared" si="46"/>
        <v>0</v>
      </c>
      <c r="I61" s="3"/>
      <c r="J61" s="2"/>
      <c r="N61" s="14" t="s">
        <v>34</v>
      </c>
      <c r="O61" s="14">
        <v>38.869999999999997</v>
      </c>
      <c r="P61" s="14">
        <v>3</v>
      </c>
      <c r="Q61" s="15">
        <f t="shared" si="40"/>
        <v>92.281965526112671</v>
      </c>
      <c r="R61" s="15"/>
      <c r="S61" s="14"/>
      <c r="T61" s="14"/>
    </row>
    <row r="65" spans="1:30" ht="43.2" x14ac:dyDescent="0.3">
      <c r="A65" s="16" t="s">
        <v>0</v>
      </c>
      <c r="B65" s="16" t="s">
        <v>1</v>
      </c>
      <c r="C65" s="1" t="s">
        <v>2</v>
      </c>
      <c r="D65" s="16" t="s">
        <v>3</v>
      </c>
      <c r="E65" s="1" t="s">
        <v>4</v>
      </c>
      <c r="F65" s="16" t="s">
        <v>5</v>
      </c>
      <c r="G65" s="1" t="s">
        <v>6</v>
      </c>
      <c r="H65" s="1" t="s">
        <v>7</v>
      </c>
      <c r="I65" s="1" t="s">
        <v>8</v>
      </c>
      <c r="J65" s="1" t="s">
        <v>9</v>
      </c>
      <c r="K65" s="1" t="s">
        <v>23</v>
      </c>
      <c r="L65" s="1" t="s">
        <v>24</v>
      </c>
      <c r="M65" s="1" t="s">
        <v>9</v>
      </c>
    </row>
    <row r="66" spans="1:30" x14ac:dyDescent="0.3">
      <c r="A66" t="s">
        <v>17</v>
      </c>
    </row>
    <row r="67" spans="1:30" x14ac:dyDescent="0.3">
      <c r="A67" t="s">
        <v>11</v>
      </c>
      <c r="B67" s="2">
        <v>6.65</v>
      </c>
      <c r="C67" s="2">
        <v>10.9</v>
      </c>
      <c r="D67" s="2">
        <f>(C67-B67)/1000</f>
        <v>4.2500000000000003E-3</v>
      </c>
      <c r="E67" s="2">
        <f>20/(100^2)</f>
        <v>2E-3</v>
      </c>
      <c r="F67" s="2">
        <f>6.895*1.5</f>
        <v>10.342499999999999</v>
      </c>
      <c r="G67" s="2">
        <v>10</v>
      </c>
      <c r="H67" s="3">
        <f>(D67/(E67*(G67/60)))</f>
        <v>12.750000000000002</v>
      </c>
      <c r="I67" s="3">
        <f>AVERAGE(H67:H69)</f>
        <v>17.930000000000003</v>
      </c>
      <c r="J67" s="2">
        <f>_xlfn.STDEV.P(H67:H69)</f>
        <v>5.0680962895351493</v>
      </c>
      <c r="K67">
        <f>H67/F67</f>
        <v>1.2327773749093549</v>
      </c>
      <c r="L67" s="3">
        <f>AVERAGE(K67:K69)</f>
        <v>1.7336233985980181</v>
      </c>
      <c r="M67" s="2">
        <f>_xlfn.STDEV.P(K67:K69)</f>
        <v>0.49002623055693972</v>
      </c>
    </row>
    <row r="68" spans="1:30" x14ac:dyDescent="0.3">
      <c r="A68" t="s">
        <v>12</v>
      </c>
      <c r="B68" s="2">
        <v>6.67</v>
      </c>
      <c r="C68" s="2">
        <v>12.08</v>
      </c>
      <c r="D68" s="2">
        <f t="shared" ref="D68:D69" si="47">(C68-B68)/1000</f>
        <v>5.4099999999999999E-3</v>
      </c>
      <c r="E68" s="2">
        <f t="shared" ref="E68:E75" si="48">20/(100^2)</f>
        <v>2E-3</v>
      </c>
      <c r="F68" s="2">
        <f t="shared" ref="F68:F69" si="49">6.895*1.5</f>
        <v>10.342499999999999</v>
      </c>
      <c r="G68" s="2">
        <v>10</v>
      </c>
      <c r="H68" s="3">
        <f t="shared" ref="H68:H70" si="50">(D68/(E68*(G68/60)))</f>
        <v>16.23</v>
      </c>
      <c r="I68" s="3"/>
      <c r="J68" s="3"/>
      <c r="K68">
        <f t="shared" ref="K68:K75" si="51">H68/F68</f>
        <v>1.5692530819434374</v>
      </c>
      <c r="L68" s="3"/>
      <c r="M68" s="3"/>
      <c r="N68" s="16" t="s">
        <v>0</v>
      </c>
      <c r="O68" s="16" t="s">
        <v>35</v>
      </c>
      <c r="P68" s="16" t="s">
        <v>36</v>
      </c>
      <c r="Q68" s="16" t="s">
        <v>27</v>
      </c>
      <c r="R68" s="17" t="s">
        <v>37</v>
      </c>
      <c r="S68" s="16" t="s">
        <v>28</v>
      </c>
      <c r="T68" s="16" t="s">
        <v>9</v>
      </c>
    </row>
    <row r="69" spans="1:30" x14ac:dyDescent="0.3">
      <c r="A69" t="s">
        <v>32</v>
      </c>
      <c r="B69" s="2">
        <v>6.7</v>
      </c>
      <c r="C69" s="2">
        <v>14.97</v>
      </c>
      <c r="D69" s="2">
        <f t="shared" si="47"/>
        <v>8.2699999999999996E-3</v>
      </c>
      <c r="E69" s="2">
        <f t="shared" si="48"/>
        <v>2E-3</v>
      </c>
      <c r="F69" s="2">
        <f t="shared" si="49"/>
        <v>10.342499999999999</v>
      </c>
      <c r="G69" s="2">
        <v>10</v>
      </c>
      <c r="H69" s="3">
        <f t="shared" si="50"/>
        <v>24.81</v>
      </c>
      <c r="I69" s="3"/>
      <c r="J69" s="3"/>
      <c r="K69">
        <f t="shared" si="51"/>
        <v>2.3988397389412617</v>
      </c>
      <c r="L69" s="3"/>
      <c r="M69" s="3"/>
      <c r="N69" s="4" t="s">
        <v>17</v>
      </c>
      <c r="O69" s="4"/>
      <c r="P69" s="4"/>
      <c r="Q69" s="4"/>
      <c r="R69" s="4"/>
      <c r="S69" s="4"/>
      <c r="T69" s="4"/>
    </row>
    <row r="70" spans="1:30" x14ac:dyDescent="0.3">
      <c r="A70" t="s">
        <v>13</v>
      </c>
      <c r="B70" s="2">
        <v>6.68</v>
      </c>
      <c r="C70" s="2">
        <v>12.04</v>
      </c>
      <c r="D70" s="2">
        <f>(C70-B70)/1000</f>
        <v>5.3599999999999993E-3</v>
      </c>
      <c r="E70" s="2">
        <f t="shared" si="48"/>
        <v>2E-3</v>
      </c>
      <c r="F70" s="2">
        <v>6.8949999999999996</v>
      </c>
      <c r="G70" s="2">
        <v>10</v>
      </c>
      <c r="H70" s="3">
        <f t="shared" si="50"/>
        <v>16.079999999999998</v>
      </c>
      <c r="I70" s="3">
        <f>AVERAGE(H70:H72)</f>
        <v>21.02</v>
      </c>
      <c r="J70" s="2">
        <f>_xlfn.STDEV.P(H70:H72)</f>
        <v>3.685674972104843</v>
      </c>
      <c r="K70">
        <f>H70/F70</f>
        <v>2.3321247280638144</v>
      </c>
      <c r="L70" s="3">
        <f>AVERAGE(K70:K72)</f>
        <v>3.0485859318346633</v>
      </c>
      <c r="M70" s="2">
        <f>_xlfn.STDEV.P(K70:K72)</f>
        <v>0.53454314316241469</v>
      </c>
      <c r="N70" s="4" t="s">
        <v>11</v>
      </c>
      <c r="O70" s="4">
        <v>36.229999999999997</v>
      </c>
      <c r="P70" s="4">
        <v>15.18</v>
      </c>
      <c r="Q70" s="5">
        <f>(O70-P70)*100/O70</f>
        <v>58.101021253105152</v>
      </c>
      <c r="R70" s="5"/>
      <c r="S70" s="5">
        <f>AVERAGE(Q70:Q72)</f>
        <v>60.410341337749564</v>
      </c>
      <c r="T70" s="5">
        <f>_xlfn.STDEV.P(Q70:Q72)</f>
        <v>2.4915126604714697</v>
      </c>
    </row>
    <row r="71" spans="1:30" x14ac:dyDescent="0.3">
      <c r="A71" t="s">
        <v>14</v>
      </c>
      <c r="B71" s="2">
        <v>6.74</v>
      </c>
      <c r="C71" s="2">
        <v>15.05</v>
      </c>
      <c r="D71" s="2">
        <f t="shared" ref="D71:D75" si="52">(C71-B71)/1000</f>
        <v>8.3099999999999997E-3</v>
      </c>
      <c r="E71" s="2">
        <f t="shared" si="48"/>
        <v>2E-3</v>
      </c>
      <c r="F71" s="2">
        <v>6.8949999999999996</v>
      </c>
      <c r="G71" s="2">
        <v>10</v>
      </c>
      <c r="H71" s="3">
        <f>(D71/(E71*(G71/60)))</f>
        <v>24.93</v>
      </c>
      <c r="I71" s="3"/>
      <c r="J71" s="2"/>
      <c r="K71">
        <f t="shared" si="51"/>
        <v>3.615663524292966</v>
      </c>
      <c r="L71" s="3"/>
      <c r="M71" s="2"/>
      <c r="N71" s="4" t="s">
        <v>12</v>
      </c>
      <c r="O71" s="4">
        <v>36.229999999999997</v>
      </c>
      <c r="P71" s="4">
        <v>13.09</v>
      </c>
      <c r="Q71" s="5">
        <f t="shared" ref="Q71:Q78" si="53">(O71-P71)*100/O71</f>
        <v>63.869721225503717</v>
      </c>
      <c r="R71" s="5"/>
      <c r="S71" s="5"/>
      <c r="T71" s="5"/>
      <c r="V71" s="50" t="s">
        <v>27</v>
      </c>
      <c r="W71" s="50"/>
      <c r="X71" s="50"/>
      <c r="Y71" s="50"/>
      <c r="Z71" s="50"/>
      <c r="AA71" s="50"/>
      <c r="AB71" s="50"/>
      <c r="AC71" s="50"/>
      <c r="AD71" s="50"/>
    </row>
    <row r="72" spans="1:30" x14ac:dyDescent="0.3">
      <c r="A72" t="s">
        <v>33</v>
      </c>
      <c r="B72" s="2">
        <v>6.72</v>
      </c>
      <c r="C72" s="2">
        <v>14.07</v>
      </c>
      <c r="D72" s="2">
        <f t="shared" si="52"/>
        <v>7.3500000000000006E-3</v>
      </c>
      <c r="E72" s="2">
        <f t="shared" si="48"/>
        <v>2E-3</v>
      </c>
      <c r="F72" s="2">
        <v>6.8949999999999996</v>
      </c>
      <c r="G72" s="2">
        <v>10</v>
      </c>
      <c r="H72" s="3">
        <f>(D72/(E72*(G72/60)))</f>
        <v>22.050000000000004</v>
      </c>
      <c r="I72" s="3"/>
      <c r="J72" s="2"/>
      <c r="K72">
        <f t="shared" si="51"/>
        <v>3.197969543147209</v>
      </c>
      <c r="L72" s="3"/>
      <c r="M72" s="2"/>
      <c r="N72" s="4" t="s">
        <v>32</v>
      </c>
      <c r="O72" s="4">
        <v>36.229999999999997</v>
      </c>
      <c r="P72" s="4">
        <v>14.76</v>
      </c>
      <c r="Q72" s="5">
        <f t="shared" si="53"/>
        <v>59.260281534639809</v>
      </c>
      <c r="R72" s="5"/>
      <c r="S72" s="5"/>
      <c r="T72" s="5"/>
      <c r="V72" s="50" t="s">
        <v>29</v>
      </c>
      <c r="W72" s="50"/>
      <c r="X72" s="50"/>
      <c r="Y72" s="50" t="s">
        <v>30</v>
      </c>
      <c r="Z72" s="50"/>
      <c r="AA72" s="50"/>
      <c r="AB72" s="50" t="s">
        <v>31</v>
      </c>
      <c r="AC72" s="50"/>
      <c r="AD72" s="50"/>
    </row>
    <row r="73" spans="1:30" x14ac:dyDescent="0.3">
      <c r="A73" t="s">
        <v>15</v>
      </c>
      <c r="B73" s="2">
        <v>6.68</v>
      </c>
      <c r="C73" s="2">
        <v>13.39</v>
      </c>
      <c r="D73" s="2">
        <f t="shared" si="52"/>
        <v>6.7100000000000007E-3</v>
      </c>
      <c r="E73" s="2">
        <f t="shared" si="48"/>
        <v>2E-3</v>
      </c>
      <c r="F73" s="2">
        <v>6.8949999999999996</v>
      </c>
      <c r="G73" s="2">
        <v>10</v>
      </c>
      <c r="H73" s="3">
        <f t="shared" ref="H73:H75" si="54">(D73/(E73*(G73/60)))</f>
        <v>20.130000000000003</v>
      </c>
      <c r="I73" s="3">
        <f>AVERAGE(H73:H75)</f>
        <v>16.05</v>
      </c>
      <c r="J73" s="2">
        <f>_xlfn.STDEV.P(H73:H75)</f>
        <v>11.797313253448854</v>
      </c>
      <c r="K73">
        <f>H73/F73</f>
        <v>2.9195068890500369</v>
      </c>
      <c r="L73" s="3">
        <f>AVERAGE(K73:K75)</f>
        <v>2.3277737490935464</v>
      </c>
      <c r="M73" s="2">
        <f>_xlfn.STDEV.P(K73:K75)</f>
        <v>1.71099539571412</v>
      </c>
      <c r="N73" s="4" t="s">
        <v>13</v>
      </c>
      <c r="O73" s="4">
        <v>35.159999999999997</v>
      </c>
      <c r="P73" s="4">
        <v>13.19</v>
      </c>
      <c r="Q73" s="5">
        <f t="shared" si="53"/>
        <v>62.485779294653021</v>
      </c>
      <c r="R73" s="5"/>
      <c r="S73" s="5">
        <f>AVERAGE(Q73:Q75)</f>
        <v>52.019340159271906</v>
      </c>
      <c r="T73" s="5">
        <f>_xlfn.STDEV.P(Q73:Q75)</f>
        <v>8.0195028144629905</v>
      </c>
      <c r="V73" t="s">
        <v>39</v>
      </c>
      <c r="W73" t="s">
        <v>40</v>
      </c>
      <c r="X73" t="s">
        <v>9</v>
      </c>
      <c r="Y73" t="s">
        <v>39</v>
      </c>
      <c r="Z73" t="s">
        <v>40</v>
      </c>
      <c r="AA73" t="s">
        <v>9</v>
      </c>
      <c r="AB73" t="s">
        <v>39</v>
      </c>
      <c r="AC73" t="s">
        <v>40</v>
      </c>
      <c r="AD73" t="s">
        <v>9</v>
      </c>
    </row>
    <row r="74" spans="1:30" x14ac:dyDescent="0.3">
      <c r="A74" t="s">
        <v>16</v>
      </c>
      <c r="B74" s="2">
        <v>6.68</v>
      </c>
      <c r="C74" s="2">
        <v>16.02</v>
      </c>
      <c r="D74" s="2">
        <f t="shared" si="52"/>
        <v>9.3399999999999993E-3</v>
      </c>
      <c r="E74" s="2">
        <f t="shared" si="48"/>
        <v>2E-3</v>
      </c>
      <c r="F74" s="2">
        <v>6.8949999999999996</v>
      </c>
      <c r="G74" s="2">
        <v>10</v>
      </c>
      <c r="H74" s="3">
        <f t="shared" si="54"/>
        <v>28.02</v>
      </c>
      <c r="I74" s="3"/>
      <c r="J74" s="2"/>
      <c r="K74">
        <f t="shared" si="51"/>
        <v>4.0638143582306023</v>
      </c>
      <c r="N74" s="4" t="s">
        <v>14</v>
      </c>
      <c r="O74" s="4">
        <v>35.159999999999997</v>
      </c>
      <c r="P74" s="4">
        <v>20.04</v>
      </c>
      <c r="Q74" s="5">
        <f t="shared" si="53"/>
        <v>43.003412969283275</v>
      </c>
      <c r="R74" s="5"/>
      <c r="S74" s="4"/>
      <c r="T74" s="4"/>
      <c r="V74">
        <v>3.48</v>
      </c>
      <c r="W74" s="18">
        <f>S70</f>
        <v>60.410341337749564</v>
      </c>
      <c r="X74" s="18">
        <f>T70</f>
        <v>2.4915126604714697</v>
      </c>
      <c r="Y74">
        <v>3.52</v>
      </c>
      <c r="Z74" s="18">
        <f>S73</f>
        <v>52.019340159271906</v>
      </c>
      <c r="AA74" s="18">
        <f>T73</f>
        <v>8.0195028144629905</v>
      </c>
      <c r="AB74">
        <v>3.57</v>
      </c>
      <c r="AC74" s="18">
        <f>S76</f>
        <v>48.210543961109714</v>
      </c>
      <c r="AD74" s="18">
        <f>T76</f>
        <v>4.6496101454843792</v>
      </c>
    </row>
    <row r="75" spans="1:30" x14ac:dyDescent="0.3">
      <c r="A75" t="s">
        <v>34</v>
      </c>
      <c r="B75" s="2"/>
      <c r="C75" s="2"/>
      <c r="D75" s="2">
        <f t="shared" si="52"/>
        <v>0</v>
      </c>
      <c r="E75" s="2">
        <f t="shared" si="48"/>
        <v>2E-3</v>
      </c>
      <c r="F75" s="2">
        <v>6.8949999999999996</v>
      </c>
      <c r="G75" s="2">
        <v>10</v>
      </c>
      <c r="H75" s="3">
        <f t="shared" si="54"/>
        <v>0</v>
      </c>
      <c r="I75" s="3"/>
      <c r="J75" s="2"/>
      <c r="K75">
        <f t="shared" si="51"/>
        <v>0</v>
      </c>
      <c r="N75" s="4" t="s">
        <v>33</v>
      </c>
      <c r="O75" s="4">
        <v>35.159999999999997</v>
      </c>
      <c r="P75" s="4">
        <v>17.38</v>
      </c>
      <c r="Q75" s="5">
        <f t="shared" si="53"/>
        <v>50.568828213879407</v>
      </c>
      <c r="R75" s="5"/>
      <c r="S75" s="4"/>
      <c r="T75" s="4"/>
      <c r="V75">
        <v>5.2</v>
      </c>
      <c r="W75" s="18">
        <f>S80</f>
        <v>92.148485711573144</v>
      </c>
      <c r="X75" s="18">
        <f>T80</f>
        <v>1.5419448747988875</v>
      </c>
      <c r="Y75">
        <v>5.0999999999999996</v>
      </c>
      <c r="Z75" s="18">
        <f>S83</f>
        <v>87.090558766859331</v>
      </c>
      <c r="AA75" s="18">
        <f>T83</f>
        <v>7.1627078215476709</v>
      </c>
      <c r="AB75">
        <v>5.24</v>
      </c>
      <c r="AC75" s="18">
        <f>S86</f>
        <v>85.112692763938313</v>
      </c>
      <c r="AD75" s="18">
        <f>T86</f>
        <v>4.7702048241119934</v>
      </c>
    </row>
    <row r="76" spans="1:30" x14ac:dyDescent="0.3">
      <c r="A76" t="s">
        <v>19</v>
      </c>
      <c r="N76" s="4" t="s">
        <v>15</v>
      </c>
      <c r="O76" s="4">
        <v>39.770000000000003</v>
      </c>
      <c r="P76" s="4">
        <v>18.690000000000001</v>
      </c>
      <c r="Q76" s="5">
        <f t="shared" si="53"/>
        <v>53.00477747045511</v>
      </c>
      <c r="R76" s="5"/>
      <c r="S76" s="5">
        <f>AVERAGE(Q76:Q78)</f>
        <v>48.210543961109714</v>
      </c>
      <c r="T76" s="5">
        <f>_xlfn.STDEV.P(Q76:Q78)</f>
        <v>4.6496101454843792</v>
      </c>
      <c r="V76">
        <v>6.7</v>
      </c>
      <c r="W76" s="18">
        <f>S90</f>
        <v>93.338923048257868</v>
      </c>
      <c r="X76" s="18">
        <f>T90</f>
        <v>2.2848802564195223</v>
      </c>
      <c r="Y76">
        <v>6.57</v>
      </c>
      <c r="Z76" s="18">
        <f>S93</f>
        <v>90.966921119592882</v>
      </c>
      <c r="AA76" s="18">
        <f>T93</f>
        <v>5.1934392225921071</v>
      </c>
      <c r="AB76">
        <v>6.78</v>
      </c>
      <c r="AC76" s="18">
        <f>S96</f>
        <v>87.974791347300297</v>
      </c>
      <c r="AD76" s="18">
        <f>T96</f>
        <v>4.0849788080955927</v>
      </c>
    </row>
    <row r="77" spans="1:30" x14ac:dyDescent="0.3">
      <c r="A77" t="s">
        <v>11</v>
      </c>
      <c r="B77" s="2">
        <v>6.65</v>
      </c>
      <c r="C77" s="2">
        <v>10.82</v>
      </c>
      <c r="D77" s="2">
        <f>(C77-B77)/1000</f>
        <v>4.1700000000000001E-3</v>
      </c>
      <c r="E77" s="2">
        <f>20/(100^2)</f>
        <v>2E-3</v>
      </c>
      <c r="F77" s="2">
        <f>6.895*1.5</f>
        <v>10.342499999999999</v>
      </c>
      <c r="G77" s="2">
        <v>10</v>
      </c>
      <c r="H77" s="3">
        <f>(D77/(E77*(G77/60)))</f>
        <v>12.510000000000002</v>
      </c>
      <c r="I77" s="3">
        <f>AVERAGE(H77:H79)</f>
        <v>17.599999999999998</v>
      </c>
      <c r="J77" s="2">
        <f>_xlfn.STDEV.P(H77:H79)</f>
        <v>5.1521063653616492</v>
      </c>
      <c r="K77">
        <f>H77/F77</f>
        <v>1.2095721537345905</v>
      </c>
      <c r="L77" s="3">
        <f>AVERAGE(K77:K79)</f>
        <v>1.7017162194827169</v>
      </c>
      <c r="M77" s="2">
        <f>_xlfn.STDEV.P(K77:K79)</f>
        <v>0.49814903218386791</v>
      </c>
      <c r="N77" s="4" t="s">
        <v>16</v>
      </c>
      <c r="O77" s="4">
        <v>39.770000000000003</v>
      </c>
      <c r="P77" s="4">
        <v>23.1</v>
      </c>
      <c r="Q77" s="5">
        <f t="shared" si="53"/>
        <v>41.916017098315315</v>
      </c>
      <c r="R77" s="5"/>
      <c r="S77" s="4"/>
      <c r="T77" s="4"/>
      <c r="V77">
        <v>8.9</v>
      </c>
      <c r="W77" s="18">
        <f>S100</f>
        <v>94.365790234036396</v>
      </c>
      <c r="X77" s="18">
        <f>T100</f>
        <v>2.181147460865255</v>
      </c>
      <c r="Y77">
        <v>8.94</v>
      </c>
      <c r="Z77" s="18">
        <f>S103</f>
        <v>91.992325557911741</v>
      </c>
      <c r="AA77" s="18">
        <f>T103</f>
        <v>4.4556568397337548</v>
      </c>
      <c r="AB77">
        <v>8.7200000000000006</v>
      </c>
      <c r="AC77" s="18">
        <f>S106</f>
        <v>88.557469786577528</v>
      </c>
      <c r="AD77" s="18">
        <f>T106</f>
        <v>4.0425649586952348</v>
      </c>
    </row>
    <row r="78" spans="1:30" x14ac:dyDescent="0.3">
      <c r="A78" t="s">
        <v>12</v>
      </c>
      <c r="B78" s="2">
        <v>6.71</v>
      </c>
      <c r="C78" s="2">
        <v>11.92</v>
      </c>
      <c r="D78" s="2">
        <f t="shared" ref="D78:D79" si="55">(C78-B78)/1000</f>
        <v>5.2100000000000002E-3</v>
      </c>
      <c r="E78" s="2">
        <f t="shared" ref="E78:E85" si="56">20/(100^2)</f>
        <v>2E-3</v>
      </c>
      <c r="F78" s="2">
        <f t="shared" ref="F78:F79" si="57">6.895*1.5</f>
        <v>10.342499999999999</v>
      </c>
      <c r="G78" s="2">
        <v>10</v>
      </c>
      <c r="H78" s="3">
        <f t="shared" ref="H78:H80" si="58">(D78/(E78*(G78/60)))</f>
        <v>15.63</v>
      </c>
      <c r="I78" s="3"/>
      <c r="J78" s="3"/>
      <c r="K78">
        <f t="shared" ref="K78:K85" si="59">H78/F78</f>
        <v>1.5112400290065267</v>
      </c>
      <c r="L78" s="3"/>
      <c r="M78" s="3"/>
      <c r="N78" s="4" t="s">
        <v>34</v>
      </c>
      <c r="O78" s="4">
        <v>39.770000000000003</v>
      </c>
      <c r="P78" s="4">
        <v>20</v>
      </c>
      <c r="Q78" s="5">
        <f t="shared" si="53"/>
        <v>49.710837314558717</v>
      </c>
      <c r="R78" s="5"/>
      <c r="S78" s="4"/>
      <c r="T78" s="4"/>
      <c r="V78">
        <v>9.9</v>
      </c>
      <c r="W78" s="18">
        <f>S110</f>
        <v>94.728591024887308</v>
      </c>
      <c r="X78" s="18">
        <f>T110</f>
        <v>1.9463098037815467</v>
      </c>
      <c r="Y78">
        <v>9.8699999999999992</v>
      </c>
      <c r="Z78" s="18">
        <f>S113</f>
        <v>92.538849439127304</v>
      </c>
      <c r="AA78" s="18">
        <f>T113</f>
        <v>3.898438804877344</v>
      </c>
      <c r="AB78">
        <v>9.91</v>
      </c>
      <c r="AC78" s="18">
        <f>S116</f>
        <v>90.356773526370205</v>
      </c>
      <c r="AD78" s="18">
        <f>T116</f>
        <v>4.176864889867276</v>
      </c>
    </row>
    <row r="79" spans="1:30" x14ac:dyDescent="0.3">
      <c r="A79" t="s">
        <v>32</v>
      </c>
      <c r="B79" s="2">
        <v>6.66</v>
      </c>
      <c r="C79" s="2">
        <v>14.88</v>
      </c>
      <c r="D79" s="2">
        <f t="shared" si="55"/>
        <v>8.2199999999999999E-3</v>
      </c>
      <c r="E79" s="2">
        <f t="shared" si="56"/>
        <v>2E-3</v>
      </c>
      <c r="F79" s="2">
        <f t="shared" si="57"/>
        <v>10.342499999999999</v>
      </c>
      <c r="G79" s="2">
        <v>10</v>
      </c>
      <c r="H79" s="3">
        <f t="shared" si="58"/>
        <v>24.66</v>
      </c>
      <c r="I79" s="3"/>
      <c r="J79" s="3"/>
      <c r="K79">
        <f t="shared" si="59"/>
        <v>2.3843364757070344</v>
      </c>
      <c r="L79" s="3"/>
      <c r="M79" s="3"/>
      <c r="N79" s="6" t="s">
        <v>19</v>
      </c>
      <c r="O79" s="6"/>
      <c r="P79" s="6"/>
      <c r="Q79" s="7" t="e">
        <f>(O79-P79)*100/O79</f>
        <v>#DIV/0!</v>
      </c>
      <c r="R79" s="7"/>
      <c r="S79" s="6"/>
      <c r="T79" s="6"/>
      <c r="V79">
        <v>10.43</v>
      </c>
      <c r="W79" s="18">
        <f>S120</f>
        <v>94.941744813867601</v>
      </c>
      <c r="X79" s="18">
        <f>T120</f>
        <v>1.7083419568274096</v>
      </c>
      <c r="Y79">
        <v>10.4</v>
      </c>
      <c r="Z79" s="18">
        <f>S123</f>
        <v>92.939033536912049</v>
      </c>
      <c r="AA79" s="18">
        <f>T123</f>
        <v>3.6722405935963485</v>
      </c>
      <c r="AB79">
        <v>10.43</v>
      </c>
      <c r="AC79" s="18">
        <f>S126</f>
        <v>91.470461405778352</v>
      </c>
      <c r="AD79" s="18">
        <f>T126</f>
        <v>3.6131428230004978</v>
      </c>
    </row>
    <row r="80" spans="1:30" x14ac:dyDescent="0.3">
      <c r="A80" t="s">
        <v>13</v>
      </c>
      <c r="B80" s="2">
        <v>6.67</v>
      </c>
      <c r="C80" s="2">
        <v>11.72</v>
      </c>
      <c r="D80" s="2">
        <f>(C80-B80)/1000</f>
        <v>5.0500000000000007E-3</v>
      </c>
      <c r="E80" s="2">
        <f t="shared" si="56"/>
        <v>2E-3</v>
      </c>
      <c r="F80" s="2">
        <v>6.8949999999999996</v>
      </c>
      <c r="G80" s="2">
        <v>10</v>
      </c>
      <c r="H80" s="3">
        <f t="shared" si="58"/>
        <v>15.150000000000002</v>
      </c>
      <c r="I80" s="3">
        <f>AVERAGE(H80:H82)</f>
        <v>19.920000000000002</v>
      </c>
      <c r="J80" s="2">
        <f>_xlfn.STDEV.P(H80:H82)</f>
        <v>3.5227546039995397</v>
      </c>
      <c r="K80">
        <f>H80/F80</f>
        <v>2.1972443799854973</v>
      </c>
      <c r="L80" s="3">
        <f>AVERAGE(K80:K82)</f>
        <v>2.8890500362581584</v>
      </c>
      <c r="M80" s="2">
        <f>_xlfn.STDEV.P(K80:K82)</f>
        <v>0.51091437331393164</v>
      </c>
      <c r="N80" s="6" t="s">
        <v>11</v>
      </c>
      <c r="O80" s="6">
        <v>35.11</v>
      </c>
      <c r="P80" s="6">
        <v>3.38</v>
      </c>
      <c r="Q80" s="7">
        <f t="shared" ref="Q80:Q88" si="60">(O80-P80)*100/O80</f>
        <v>90.373113073198525</v>
      </c>
      <c r="R80" s="7"/>
      <c r="S80" s="7">
        <f>AVERAGE(Q80:Q82)</f>
        <v>92.148485711573144</v>
      </c>
      <c r="T80" s="7">
        <f>_xlfn.STDEV.P(Q80:Q82)</f>
        <v>1.5419448747988875</v>
      </c>
    </row>
    <row r="81" spans="1:20" x14ac:dyDescent="0.3">
      <c r="A81" t="s">
        <v>14</v>
      </c>
      <c r="B81" s="2">
        <v>6.71</v>
      </c>
      <c r="C81" s="2">
        <v>14.56</v>
      </c>
      <c r="D81" s="2">
        <f t="shared" ref="D81:D85" si="61">(C81-B81)/1000</f>
        <v>7.8500000000000011E-3</v>
      </c>
      <c r="E81" s="2">
        <f t="shared" si="56"/>
        <v>2E-3</v>
      </c>
      <c r="F81" s="2">
        <v>6.8949999999999996</v>
      </c>
      <c r="G81" s="2">
        <v>10</v>
      </c>
      <c r="H81" s="3">
        <f>(D81/(E81*(G81/60)))</f>
        <v>23.550000000000004</v>
      </c>
      <c r="I81" s="3"/>
      <c r="J81" s="2"/>
      <c r="K81">
        <f t="shared" si="59"/>
        <v>3.4155184916606243</v>
      </c>
      <c r="L81" s="3"/>
      <c r="M81" s="2"/>
      <c r="N81" s="6" t="s">
        <v>12</v>
      </c>
      <c r="O81" s="6">
        <v>35.11</v>
      </c>
      <c r="P81" s="6">
        <v>2.06</v>
      </c>
      <c r="Q81" s="7">
        <f t="shared" si="60"/>
        <v>94.13272571916832</v>
      </c>
      <c r="R81" s="7"/>
      <c r="S81" s="7"/>
      <c r="T81" s="7"/>
    </row>
    <row r="82" spans="1:20" x14ac:dyDescent="0.3">
      <c r="A82" t="s">
        <v>33</v>
      </c>
      <c r="B82" s="2">
        <v>6.67</v>
      </c>
      <c r="C82" s="2">
        <v>13.69</v>
      </c>
      <c r="D82" s="2">
        <f t="shared" si="61"/>
        <v>7.0199999999999993E-3</v>
      </c>
      <c r="E82" s="2">
        <f t="shared" si="56"/>
        <v>2E-3</v>
      </c>
      <c r="F82" s="2">
        <v>6.8949999999999996</v>
      </c>
      <c r="G82" s="2">
        <v>10</v>
      </c>
      <c r="H82" s="3">
        <f>(D82/(E82*(G82/60)))</f>
        <v>21.06</v>
      </c>
      <c r="I82" s="3"/>
      <c r="J82" s="2"/>
      <c r="K82">
        <f t="shared" si="59"/>
        <v>3.054387237128354</v>
      </c>
      <c r="L82" s="3"/>
      <c r="M82" s="2"/>
      <c r="N82" s="6" t="s">
        <v>32</v>
      </c>
      <c r="O82" s="6">
        <v>35.11</v>
      </c>
      <c r="P82" s="6">
        <v>2.83</v>
      </c>
      <c r="Q82" s="7">
        <f t="shared" si="60"/>
        <v>91.939618342352603</v>
      </c>
      <c r="R82" s="7"/>
      <c r="S82" s="7"/>
      <c r="T82" s="7"/>
    </row>
    <row r="83" spans="1:20" x14ac:dyDescent="0.3">
      <c r="A83" t="s">
        <v>15</v>
      </c>
      <c r="B83" s="2">
        <v>6.65</v>
      </c>
      <c r="C83" s="2">
        <v>13.06</v>
      </c>
      <c r="D83" s="2">
        <f t="shared" si="61"/>
        <v>6.4099999999999999E-3</v>
      </c>
      <c r="E83" s="2">
        <f t="shared" si="56"/>
        <v>2E-3</v>
      </c>
      <c r="F83" s="2">
        <v>6.8949999999999996</v>
      </c>
      <c r="G83" s="2">
        <v>10</v>
      </c>
      <c r="H83" s="3">
        <f t="shared" ref="H83:H85" si="62">(D83/(E83*(G83/60)))</f>
        <v>19.23</v>
      </c>
      <c r="I83" s="3">
        <f>AVERAGE(H83:H85)</f>
        <v>15.08</v>
      </c>
      <c r="J83" s="2">
        <f>_xlfn.STDEV.P(H83:H85)</f>
        <v>11.016560261715089</v>
      </c>
      <c r="K83">
        <f>H83/F83</f>
        <v>2.7889775199419873</v>
      </c>
      <c r="L83" s="3">
        <f>AVERAGE(K83:K85)</f>
        <v>2.1870920957215376</v>
      </c>
      <c r="M83" s="2">
        <f>_xlfn.STDEV.P(K83:K85)</f>
        <v>1.5977607341138631</v>
      </c>
      <c r="N83" s="6" t="s">
        <v>13</v>
      </c>
      <c r="O83" s="6">
        <v>34.6</v>
      </c>
      <c r="P83" s="6">
        <v>1.54</v>
      </c>
      <c r="Q83" s="7">
        <f t="shared" si="60"/>
        <v>95.549132947976872</v>
      </c>
      <c r="R83" s="7"/>
      <c r="S83" s="7">
        <f>AVERAGE(Q83:Q85)</f>
        <v>87.090558766859331</v>
      </c>
      <c r="T83" s="7">
        <f>_xlfn.STDEV.P(Q83:Q85)</f>
        <v>7.1627078215476709</v>
      </c>
    </row>
    <row r="84" spans="1:20" x14ac:dyDescent="0.3">
      <c r="A84" t="s">
        <v>16</v>
      </c>
      <c r="B84" s="2">
        <v>6.67</v>
      </c>
      <c r="C84" s="2">
        <v>15.34</v>
      </c>
      <c r="D84" s="2">
        <f t="shared" si="61"/>
        <v>8.6700000000000006E-3</v>
      </c>
      <c r="E84" s="2">
        <f t="shared" si="56"/>
        <v>2E-3</v>
      </c>
      <c r="F84" s="2">
        <v>6.8949999999999996</v>
      </c>
      <c r="G84" s="2">
        <v>10</v>
      </c>
      <c r="H84" s="3">
        <f t="shared" si="62"/>
        <v>26.01</v>
      </c>
      <c r="I84" s="3"/>
      <c r="J84" s="2"/>
      <c r="K84">
        <f t="shared" si="59"/>
        <v>3.7722987672226256</v>
      </c>
      <c r="N84" s="6" t="s">
        <v>14</v>
      </c>
      <c r="O84" s="6">
        <v>34.6</v>
      </c>
      <c r="P84" s="6">
        <v>7.6</v>
      </c>
      <c r="Q84" s="7">
        <f t="shared" si="60"/>
        <v>78.034682080924853</v>
      </c>
      <c r="R84" s="7"/>
      <c r="S84" s="6"/>
      <c r="T84" s="6"/>
    </row>
    <row r="85" spans="1:20" x14ac:dyDescent="0.3">
      <c r="A85" t="s">
        <v>34</v>
      </c>
      <c r="B85" s="2"/>
      <c r="C85" s="2"/>
      <c r="D85" s="2">
        <f t="shared" si="61"/>
        <v>0</v>
      </c>
      <c r="E85" s="2">
        <f t="shared" si="56"/>
        <v>2E-3</v>
      </c>
      <c r="F85" s="2">
        <v>6.8949999999999996</v>
      </c>
      <c r="G85" s="2">
        <v>10</v>
      </c>
      <c r="H85" s="3">
        <f t="shared" si="62"/>
        <v>0</v>
      </c>
      <c r="I85" s="3"/>
      <c r="J85" s="2"/>
      <c r="K85">
        <f t="shared" si="59"/>
        <v>0</v>
      </c>
      <c r="N85" s="6" t="s">
        <v>33</v>
      </c>
      <c r="O85" s="6">
        <v>34.6</v>
      </c>
      <c r="P85" s="6">
        <v>4.26</v>
      </c>
      <c r="Q85" s="7">
        <f t="shared" si="60"/>
        <v>87.687861271676312</v>
      </c>
      <c r="R85" s="7"/>
      <c r="S85" s="6"/>
      <c r="T85" s="6"/>
    </row>
    <row r="86" spans="1:20" x14ac:dyDescent="0.3">
      <c r="A86" t="s">
        <v>18</v>
      </c>
      <c r="N86" s="6" t="s">
        <v>15</v>
      </c>
      <c r="O86" s="6">
        <v>39.340000000000003</v>
      </c>
      <c r="P86" s="6">
        <v>3.49</v>
      </c>
      <c r="Q86" s="7">
        <f t="shared" si="60"/>
        <v>91.128622267412297</v>
      </c>
      <c r="R86" s="7"/>
      <c r="S86" s="7">
        <f>AVERAGE(Q86:Q88)</f>
        <v>85.112692763938313</v>
      </c>
      <c r="T86" s="7">
        <f>_xlfn.STDEV.P(Q86:Q88)</f>
        <v>4.7702048241119934</v>
      </c>
    </row>
    <row r="87" spans="1:20" x14ac:dyDescent="0.3">
      <c r="A87" t="s">
        <v>11</v>
      </c>
      <c r="B87" s="2">
        <v>6.69</v>
      </c>
      <c r="C87" s="2">
        <v>10.82</v>
      </c>
      <c r="D87" s="2">
        <f>(C87-B87)/1000</f>
        <v>4.13E-3</v>
      </c>
      <c r="E87" s="2">
        <f>20/(100^2)</f>
        <v>2E-3</v>
      </c>
      <c r="F87" s="2">
        <f>6.895*1.5</f>
        <v>10.342499999999999</v>
      </c>
      <c r="G87" s="2">
        <v>10</v>
      </c>
      <c r="H87" s="3">
        <f>(D87/(E87*(G87/60)))</f>
        <v>12.39</v>
      </c>
      <c r="I87" s="3">
        <f>AVERAGE(H87:H89)</f>
        <v>17.52</v>
      </c>
      <c r="J87" s="2">
        <f>_xlfn.STDEV.P(H87:H89)</f>
        <v>5.1025287848281717</v>
      </c>
      <c r="K87">
        <f>H87/F87</f>
        <v>1.1979695431472082</v>
      </c>
      <c r="L87" s="3">
        <f>AVERAGE(K87:K89)</f>
        <v>1.6939811457577958</v>
      </c>
      <c r="M87" s="2">
        <f>_xlfn.STDEV.P(K87:K89)</f>
        <v>0.49335545417724647</v>
      </c>
      <c r="N87" s="6" t="s">
        <v>16</v>
      </c>
      <c r="O87" s="6">
        <v>39.340000000000003</v>
      </c>
      <c r="P87" s="6">
        <v>8.08</v>
      </c>
      <c r="Q87" s="7">
        <f t="shared" si="60"/>
        <v>79.461108286731061</v>
      </c>
      <c r="R87" s="7"/>
      <c r="S87" s="6"/>
      <c r="T87" s="6"/>
    </row>
    <row r="88" spans="1:20" x14ac:dyDescent="0.3">
      <c r="A88" t="s">
        <v>12</v>
      </c>
      <c r="B88" s="2">
        <v>6.69</v>
      </c>
      <c r="C88" s="2">
        <v>11.92</v>
      </c>
      <c r="D88" s="2">
        <f t="shared" ref="D88:D89" si="63">(C88-B88)/1000</f>
        <v>5.2299999999999994E-3</v>
      </c>
      <c r="E88" s="2">
        <f t="shared" ref="E88:E95" si="64">20/(100^2)</f>
        <v>2E-3</v>
      </c>
      <c r="F88" s="2">
        <f t="shared" ref="F88:F89" si="65">6.895*1.5</f>
        <v>10.342499999999999</v>
      </c>
      <c r="G88" s="2">
        <v>10</v>
      </c>
      <c r="H88" s="3">
        <f t="shared" ref="H88:H90" si="66">(D88/(E88*(G88/60)))</f>
        <v>15.69</v>
      </c>
      <c r="I88" s="3"/>
      <c r="J88" s="3"/>
      <c r="K88">
        <f t="shared" ref="K88:K95" si="67">H88/F88</f>
        <v>1.5170413343002176</v>
      </c>
      <c r="L88" s="3"/>
      <c r="M88" s="3"/>
      <c r="N88" s="6" t="s">
        <v>34</v>
      </c>
      <c r="O88" s="6">
        <v>39.340000000000003</v>
      </c>
      <c r="P88" s="6">
        <v>6</v>
      </c>
      <c r="Q88" s="7">
        <f t="shared" si="60"/>
        <v>84.74834773767158</v>
      </c>
      <c r="R88" s="7"/>
      <c r="S88" s="6"/>
      <c r="T88" s="6"/>
    </row>
    <row r="89" spans="1:20" x14ac:dyDescent="0.3">
      <c r="A89" t="s">
        <v>32</v>
      </c>
      <c r="B89" s="2">
        <v>6.72</v>
      </c>
      <c r="C89" s="2">
        <v>14.88</v>
      </c>
      <c r="D89" s="2">
        <f t="shared" si="63"/>
        <v>8.1600000000000006E-3</v>
      </c>
      <c r="E89" s="2">
        <f t="shared" si="64"/>
        <v>2E-3</v>
      </c>
      <c r="F89" s="2">
        <f t="shared" si="65"/>
        <v>10.342499999999999</v>
      </c>
      <c r="G89" s="2">
        <v>10</v>
      </c>
      <c r="H89" s="3">
        <f t="shared" si="66"/>
        <v>24.480000000000004</v>
      </c>
      <c r="I89" s="3"/>
      <c r="J89" s="3"/>
      <c r="K89">
        <f t="shared" si="67"/>
        <v>2.3669325598259614</v>
      </c>
      <c r="L89" s="3"/>
      <c r="M89" s="3"/>
      <c r="N89" s="8" t="s">
        <v>18</v>
      </c>
      <c r="O89" s="8"/>
      <c r="P89" s="8"/>
      <c r="Q89" s="9" t="e">
        <f>(O89-P89)*100/O89</f>
        <v>#DIV/0!</v>
      </c>
      <c r="R89" s="9"/>
      <c r="S89" s="8"/>
      <c r="T89" s="8"/>
    </row>
    <row r="90" spans="1:20" x14ac:dyDescent="0.3">
      <c r="A90" t="s">
        <v>13</v>
      </c>
      <c r="B90" s="2">
        <v>6.67</v>
      </c>
      <c r="C90" s="2">
        <v>11.81</v>
      </c>
      <c r="D90" s="2">
        <f>(C90-B90)/1000</f>
        <v>5.1400000000000005E-3</v>
      </c>
      <c r="E90" s="2">
        <f t="shared" si="64"/>
        <v>2E-3</v>
      </c>
      <c r="F90" s="2">
        <v>6.8949999999999996</v>
      </c>
      <c r="G90" s="2">
        <v>10</v>
      </c>
      <c r="H90" s="3">
        <f t="shared" si="66"/>
        <v>15.420000000000002</v>
      </c>
      <c r="I90" s="3">
        <f>AVERAGE(H90:H92)</f>
        <v>20.030000000000005</v>
      </c>
      <c r="J90" s="2">
        <f>_xlfn.STDEV.P(H90:H92)</f>
        <v>3.4073743557173279</v>
      </c>
      <c r="K90">
        <f>H90/F90</f>
        <v>2.2364031907179118</v>
      </c>
      <c r="L90" s="3">
        <f>AVERAGE(K90:K92)</f>
        <v>2.9050036258158087</v>
      </c>
      <c r="M90" s="2">
        <f>_xlfn.STDEV.P(K90:K92)</f>
        <v>0.49418047218525629</v>
      </c>
      <c r="N90" s="8" t="s">
        <v>11</v>
      </c>
      <c r="O90" s="8">
        <v>35.78</v>
      </c>
      <c r="P90" s="8">
        <v>3.03</v>
      </c>
      <c r="Q90" s="9">
        <f t="shared" ref="Q90:Q98" si="68">(O90-P90)*100/O90</f>
        <v>91.531581889323647</v>
      </c>
      <c r="R90" s="9"/>
      <c r="S90" s="9">
        <f>AVERAGE(Q90:Q92)</f>
        <v>93.338923048257868</v>
      </c>
      <c r="T90" s="9">
        <f>_xlfn.STDEV.P(Q90:Q92)</f>
        <v>2.2848802564195223</v>
      </c>
    </row>
    <row r="91" spans="1:20" x14ac:dyDescent="0.3">
      <c r="A91" t="s">
        <v>14</v>
      </c>
      <c r="B91" s="2">
        <v>6.71</v>
      </c>
      <c r="C91" s="2">
        <v>14.56</v>
      </c>
      <c r="D91" s="2">
        <f t="shared" ref="D91:D95" si="69">(C91-B91)/1000</f>
        <v>7.8500000000000011E-3</v>
      </c>
      <c r="E91" s="2">
        <f t="shared" si="64"/>
        <v>2E-3</v>
      </c>
      <c r="F91" s="2">
        <v>6.8949999999999996</v>
      </c>
      <c r="G91" s="2">
        <v>10</v>
      </c>
      <c r="H91" s="3">
        <f>(D91/(E91*(G91/60)))</f>
        <v>23.550000000000004</v>
      </c>
      <c r="I91" s="3"/>
      <c r="J91" s="2"/>
      <c r="K91">
        <f t="shared" si="67"/>
        <v>3.4155184916606243</v>
      </c>
      <c r="L91" s="3"/>
      <c r="M91" s="2"/>
      <c r="N91" s="8" t="s">
        <v>12</v>
      </c>
      <c r="O91" s="8">
        <v>35.78</v>
      </c>
      <c r="P91" s="8">
        <v>1.23</v>
      </c>
      <c r="Q91" s="9">
        <f t="shared" si="68"/>
        <v>96.562325321408622</v>
      </c>
      <c r="R91" s="9"/>
      <c r="S91" s="9"/>
      <c r="T91" s="9"/>
    </row>
    <row r="92" spans="1:20" x14ac:dyDescent="0.3">
      <c r="A92" t="s">
        <v>33</v>
      </c>
      <c r="B92" s="2">
        <v>6.68</v>
      </c>
      <c r="C92" s="2">
        <v>13.72</v>
      </c>
      <c r="D92" s="2">
        <f t="shared" si="69"/>
        <v>7.0400000000000011E-3</v>
      </c>
      <c r="E92" s="2">
        <f t="shared" si="64"/>
        <v>2E-3</v>
      </c>
      <c r="F92" s="2">
        <v>6.8949999999999996</v>
      </c>
      <c r="G92" s="2">
        <v>10</v>
      </c>
      <c r="H92" s="3">
        <f>(D92/(E92*(G92/60)))</f>
        <v>21.120000000000005</v>
      </c>
      <c r="I92" s="3"/>
      <c r="J92" s="2"/>
      <c r="K92">
        <f t="shared" si="67"/>
        <v>3.0630891950688914</v>
      </c>
      <c r="L92" s="3"/>
      <c r="M92" s="2"/>
      <c r="N92" s="8" t="s">
        <v>32</v>
      </c>
      <c r="O92" s="8">
        <v>35.78</v>
      </c>
      <c r="P92" s="8">
        <v>2.89</v>
      </c>
      <c r="Q92" s="9">
        <f t="shared" si="68"/>
        <v>91.922861934041364</v>
      </c>
      <c r="R92" s="9"/>
      <c r="S92" s="9"/>
      <c r="T92" s="9"/>
    </row>
    <row r="93" spans="1:20" x14ac:dyDescent="0.3">
      <c r="A93" t="s">
        <v>15</v>
      </c>
      <c r="B93" s="2">
        <v>6.69</v>
      </c>
      <c r="C93" s="2">
        <v>13.16</v>
      </c>
      <c r="D93" s="2">
        <f t="shared" si="69"/>
        <v>6.4700000000000001E-3</v>
      </c>
      <c r="E93" s="2">
        <f t="shared" si="64"/>
        <v>2E-3</v>
      </c>
      <c r="F93" s="2">
        <v>6.8949999999999996</v>
      </c>
      <c r="G93" s="2">
        <v>10</v>
      </c>
      <c r="H93" s="3">
        <f t="shared" ref="H93:H95" si="70">(D93/(E93*(G93/60)))</f>
        <v>19.41</v>
      </c>
      <c r="I93" s="3">
        <f>AVERAGE(H93:H95)</f>
        <v>15.209999999999999</v>
      </c>
      <c r="J93" s="2">
        <f>_xlfn.STDEV.P(H93:H95)</f>
        <v>11.108618275915324</v>
      </c>
      <c r="K93">
        <f>H93/F93</f>
        <v>2.8150833937635968</v>
      </c>
      <c r="L93" s="3">
        <f>AVERAGE(K93:K95)</f>
        <v>2.2059463379260333</v>
      </c>
      <c r="M93" s="2">
        <f>_xlfn.STDEV.P(K93:K95)</f>
        <v>1.6111121502415267</v>
      </c>
      <c r="N93" s="8" t="s">
        <v>13</v>
      </c>
      <c r="O93" s="8">
        <v>34.06</v>
      </c>
      <c r="P93" s="8">
        <v>1.05</v>
      </c>
      <c r="Q93" s="9">
        <f t="shared" si="68"/>
        <v>96.917204932472117</v>
      </c>
      <c r="R93" s="9"/>
      <c r="S93" s="9">
        <f>AVERAGE(Q93:Q95)</f>
        <v>90.966921119592882</v>
      </c>
      <c r="T93" s="9">
        <f>_xlfn.STDEV.P(Q93:Q95)</f>
        <v>5.1934392225921071</v>
      </c>
    </row>
    <row r="94" spans="1:20" x14ac:dyDescent="0.3">
      <c r="A94" t="s">
        <v>16</v>
      </c>
      <c r="B94" s="2">
        <v>6.69</v>
      </c>
      <c r="C94" s="2">
        <v>15.43</v>
      </c>
      <c r="D94" s="2">
        <f t="shared" si="69"/>
        <v>8.7399999999999978E-3</v>
      </c>
      <c r="E94" s="2">
        <f t="shared" si="64"/>
        <v>2E-3</v>
      </c>
      <c r="F94" s="2">
        <v>6.8949999999999996</v>
      </c>
      <c r="G94" s="2">
        <v>10</v>
      </c>
      <c r="H94" s="3">
        <f t="shared" si="70"/>
        <v>26.219999999999995</v>
      </c>
      <c r="I94" s="3"/>
      <c r="J94" s="2"/>
      <c r="K94">
        <f t="shared" si="67"/>
        <v>3.8027556200145027</v>
      </c>
      <c r="N94" s="8" t="s">
        <v>14</v>
      </c>
      <c r="O94" s="8">
        <v>34.06</v>
      </c>
      <c r="P94" s="8">
        <v>5.36</v>
      </c>
      <c r="Q94" s="9">
        <f t="shared" si="68"/>
        <v>84.263065179095719</v>
      </c>
      <c r="R94" s="9"/>
      <c r="S94" s="8"/>
      <c r="T94" s="8"/>
    </row>
    <row r="95" spans="1:20" x14ac:dyDescent="0.3">
      <c r="A95" t="s">
        <v>34</v>
      </c>
      <c r="B95" s="2"/>
      <c r="C95" s="2"/>
      <c r="D95" s="2">
        <f t="shared" si="69"/>
        <v>0</v>
      </c>
      <c r="E95" s="2">
        <f t="shared" si="64"/>
        <v>2E-3</v>
      </c>
      <c r="F95" s="2">
        <v>6.8949999999999996</v>
      </c>
      <c r="G95" s="2">
        <v>10</v>
      </c>
      <c r="H95" s="3">
        <f t="shared" si="70"/>
        <v>0</v>
      </c>
      <c r="I95" s="3"/>
      <c r="J95" s="2"/>
      <c r="K95">
        <f t="shared" si="67"/>
        <v>0</v>
      </c>
      <c r="N95" s="8" t="s">
        <v>33</v>
      </c>
      <c r="O95" s="8">
        <v>34.06</v>
      </c>
      <c r="P95" s="8">
        <v>2.82</v>
      </c>
      <c r="Q95" s="9">
        <f t="shared" si="68"/>
        <v>91.720493247210797</v>
      </c>
      <c r="R95" s="9"/>
      <c r="S95" s="8"/>
      <c r="T95" s="8"/>
    </row>
    <row r="96" spans="1:20" x14ac:dyDescent="0.3">
      <c r="A96" t="s">
        <v>20</v>
      </c>
      <c r="N96" s="8" t="s">
        <v>15</v>
      </c>
      <c r="O96" s="8">
        <v>39.14</v>
      </c>
      <c r="P96" s="8">
        <v>2.86</v>
      </c>
      <c r="Q96" s="9">
        <f t="shared" si="68"/>
        <v>92.692897291773122</v>
      </c>
      <c r="R96" s="9"/>
      <c r="S96" s="9">
        <f>AVERAGE(Q96:Q98)</f>
        <v>87.974791347300297</v>
      </c>
      <c r="T96" s="9">
        <f>_xlfn.STDEV.P(Q96:Q98)</f>
        <v>4.0849788080955927</v>
      </c>
    </row>
    <row r="97" spans="1:20" x14ac:dyDescent="0.3">
      <c r="A97" t="s">
        <v>11</v>
      </c>
      <c r="B97" s="2">
        <v>6.67</v>
      </c>
      <c r="C97" s="2">
        <v>10.81</v>
      </c>
      <c r="D97" s="2">
        <f>(C97-B97)/1000</f>
        <v>4.1400000000000005E-3</v>
      </c>
      <c r="E97" s="2">
        <f>20/(100^2)</f>
        <v>2E-3</v>
      </c>
      <c r="F97" s="2">
        <f>6.895*1.5</f>
        <v>10.342499999999999</v>
      </c>
      <c r="G97" s="2">
        <v>10</v>
      </c>
      <c r="H97" s="3">
        <f>(D97/(E97*(G97/60)))</f>
        <v>12.420000000000002</v>
      </c>
      <c r="I97" s="3">
        <f>AVERAGE(H97:H99)</f>
        <v>17.350000000000005</v>
      </c>
      <c r="J97" s="2">
        <f>_xlfn.STDEV.P(H97:H99)</f>
        <v>5.0382338175197781</v>
      </c>
      <c r="K97">
        <f>H97/F97</f>
        <v>1.200870195794054</v>
      </c>
      <c r="L97" s="3">
        <f>AVERAGE(K97:K99)</f>
        <v>1.6775441140923377</v>
      </c>
      <c r="M97" s="2">
        <f>_xlfn.STDEV.P(K97:K99)</f>
        <v>0.48713887527384908</v>
      </c>
      <c r="N97" s="8" t="s">
        <v>16</v>
      </c>
      <c r="O97" s="8">
        <v>39.14</v>
      </c>
      <c r="P97" s="8">
        <v>6.76</v>
      </c>
      <c r="Q97" s="9">
        <f t="shared" si="68"/>
        <v>82.728666326009204</v>
      </c>
      <c r="R97" s="9"/>
      <c r="S97" s="8"/>
      <c r="T97" s="8"/>
    </row>
    <row r="98" spans="1:20" x14ac:dyDescent="0.3">
      <c r="A98" t="s">
        <v>12</v>
      </c>
      <c r="B98" s="2">
        <v>6.68</v>
      </c>
      <c r="C98" s="2">
        <v>11.8</v>
      </c>
      <c r="D98" s="2">
        <f t="shared" ref="D98:D99" si="71">(C98-B98)/1000</f>
        <v>5.1200000000000013E-3</v>
      </c>
      <c r="E98" s="2">
        <f t="shared" ref="E98:E105" si="72">20/(100^2)</f>
        <v>2E-3</v>
      </c>
      <c r="F98" s="2">
        <f t="shared" ref="F98:F99" si="73">6.895*1.5</f>
        <v>10.342499999999999</v>
      </c>
      <c r="G98" s="2">
        <v>10</v>
      </c>
      <c r="H98" s="3">
        <f t="shared" ref="H98:H100" si="74">(D98/(E98*(G98/60)))</f>
        <v>15.360000000000005</v>
      </c>
      <c r="I98" s="3"/>
      <c r="J98" s="3"/>
      <c r="K98">
        <f t="shared" ref="K98:K105" si="75">H98/F98</f>
        <v>1.4851341551849171</v>
      </c>
      <c r="L98" s="3"/>
      <c r="M98" s="3"/>
      <c r="N98" s="8" t="s">
        <v>34</v>
      </c>
      <c r="O98" s="8">
        <v>39.14</v>
      </c>
      <c r="P98" s="8">
        <v>4.5</v>
      </c>
      <c r="Q98" s="9">
        <f t="shared" si="68"/>
        <v>88.50281042411855</v>
      </c>
      <c r="R98" s="9"/>
      <c r="S98" s="8"/>
      <c r="T98" s="8"/>
    </row>
    <row r="99" spans="1:20" x14ac:dyDescent="0.3">
      <c r="A99" t="s">
        <v>32</v>
      </c>
      <c r="B99" s="2">
        <v>6.68</v>
      </c>
      <c r="C99" s="2">
        <v>14.77</v>
      </c>
      <c r="D99" s="2">
        <f t="shared" si="71"/>
        <v>8.09E-3</v>
      </c>
      <c r="E99" s="2">
        <f t="shared" si="72"/>
        <v>2E-3</v>
      </c>
      <c r="F99" s="2">
        <f t="shared" si="73"/>
        <v>10.342499999999999</v>
      </c>
      <c r="G99" s="2">
        <v>10</v>
      </c>
      <c r="H99" s="3">
        <f t="shared" si="74"/>
        <v>24.27</v>
      </c>
      <c r="I99" s="3"/>
      <c r="J99" s="3"/>
      <c r="K99">
        <f t="shared" si="75"/>
        <v>2.3466279912980421</v>
      </c>
      <c r="L99" s="3"/>
      <c r="M99" s="3"/>
      <c r="N99" s="10" t="s">
        <v>20</v>
      </c>
      <c r="O99" s="10"/>
      <c r="P99" s="10"/>
      <c r="Q99" s="11" t="e">
        <f>(O99-P99)*100/O99</f>
        <v>#DIV/0!</v>
      </c>
      <c r="R99" s="11"/>
      <c r="S99" s="10"/>
      <c r="T99" s="10"/>
    </row>
    <row r="100" spans="1:20" x14ac:dyDescent="0.3">
      <c r="A100" t="s">
        <v>13</v>
      </c>
      <c r="B100" s="2">
        <v>6.68</v>
      </c>
      <c r="C100" s="2">
        <v>11.77</v>
      </c>
      <c r="D100" s="2">
        <f>(C100-B100)/1000</f>
        <v>5.0899999999999999E-3</v>
      </c>
      <c r="E100" s="2">
        <f t="shared" si="72"/>
        <v>2E-3</v>
      </c>
      <c r="F100" s="2">
        <v>6.8949999999999996</v>
      </c>
      <c r="G100" s="2">
        <v>10</v>
      </c>
      <c r="H100" s="3">
        <f t="shared" si="74"/>
        <v>15.27</v>
      </c>
      <c r="I100" s="3">
        <f>AVERAGE(H100:H102)</f>
        <v>19.830000000000002</v>
      </c>
      <c r="J100" s="2">
        <f>_xlfn.STDEV.P(H100:H102)</f>
        <v>3.342813186524193</v>
      </c>
      <c r="K100">
        <f>H100/F100</f>
        <v>2.2146482958665699</v>
      </c>
      <c r="L100" s="3">
        <f>AVERAGE(K100:K102)</f>
        <v>2.8759970993473534</v>
      </c>
      <c r="M100" s="2">
        <f>_xlfn.STDEV.P(K100:K102)</f>
        <v>0.48481699587007904</v>
      </c>
      <c r="N100" s="10" t="s">
        <v>11</v>
      </c>
      <c r="O100" s="10">
        <v>34.61</v>
      </c>
      <c r="P100" s="10">
        <v>2.59</v>
      </c>
      <c r="Q100" s="11">
        <f t="shared" ref="Q100:Q108" si="76">(O100-P100)*100/O100</f>
        <v>92.516613695463732</v>
      </c>
      <c r="R100" s="11"/>
      <c r="S100" s="11">
        <f>AVERAGE(Q100:Q102)</f>
        <v>94.365790234036396</v>
      </c>
      <c r="T100" s="11">
        <f>_xlfn.STDEV.P(Q100:Q102)</f>
        <v>2.181147460865255</v>
      </c>
    </row>
    <row r="101" spans="1:20" x14ac:dyDescent="0.3">
      <c r="A101" t="s">
        <v>14</v>
      </c>
      <c r="B101" s="2">
        <v>6.68</v>
      </c>
      <c r="C101" s="2">
        <v>14.41</v>
      </c>
      <c r="D101" s="2">
        <f t="shared" ref="D101:D105" si="77">(C101-B101)/1000</f>
        <v>7.7300000000000008E-3</v>
      </c>
      <c r="E101" s="2">
        <f t="shared" si="72"/>
        <v>2E-3</v>
      </c>
      <c r="F101" s="2">
        <v>6.8949999999999996</v>
      </c>
      <c r="G101" s="2">
        <v>10</v>
      </c>
      <c r="H101" s="3">
        <f>(D101/(E101*(G101/60)))</f>
        <v>23.19</v>
      </c>
      <c r="I101" s="3"/>
      <c r="J101" s="2"/>
      <c r="K101">
        <f t="shared" si="75"/>
        <v>3.3633067440174043</v>
      </c>
      <c r="L101" s="3"/>
      <c r="M101" s="2"/>
      <c r="N101" s="10" t="s">
        <v>12</v>
      </c>
      <c r="O101" s="10">
        <v>34.61</v>
      </c>
      <c r="P101" s="10">
        <v>0.89</v>
      </c>
      <c r="Q101" s="11">
        <f t="shared" si="76"/>
        <v>97.428488876047382</v>
      </c>
      <c r="R101" s="11"/>
      <c r="S101" s="11"/>
      <c r="T101" s="11"/>
    </row>
    <row r="102" spans="1:20" x14ac:dyDescent="0.3">
      <c r="A102" t="s">
        <v>33</v>
      </c>
      <c r="B102" s="2">
        <v>6.65</v>
      </c>
      <c r="C102" s="2">
        <v>13.66</v>
      </c>
      <c r="D102" s="2">
        <f t="shared" si="77"/>
        <v>7.0099999999999997E-3</v>
      </c>
      <c r="E102" s="2">
        <f t="shared" si="72"/>
        <v>2E-3</v>
      </c>
      <c r="F102" s="2">
        <v>6.8949999999999996</v>
      </c>
      <c r="G102" s="2">
        <v>10</v>
      </c>
      <c r="H102" s="3">
        <f>(D102/(E102*(G102/60)))</f>
        <v>21.03</v>
      </c>
      <c r="I102" s="3"/>
      <c r="J102" s="2"/>
      <c r="K102">
        <f t="shared" si="75"/>
        <v>3.050036258158086</v>
      </c>
      <c r="L102" s="3"/>
      <c r="M102" s="2"/>
      <c r="N102" s="10" t="s">
        <v>32</v>
      </c>
      <c r="O102" s="10">
        <v>34.61</v>
      </c>
      <c r="P102" s="10">
        <v>2.37</v>
      </c>
      <c r="Q102" s="11">
        <f t="shared" si="76"/>
        <v>93.152268130598088</v>
      </c>
      <c r="R102" s="11"/>
      <c r="S102" s="11"/>
      <c r="T102" s="11"/>
    </row>
    <row r="103" spans="1:20" x14ac:dyDescent="0.3">
      <c r="A103" t="s">
        <v>15</v>
      </c>
      <c r="B103" s="2">
        <v>6.68</v>
      </c>
      <c r="C103" s="2">
        <v>13.03</v>
      </c>
      <c r="D103" s="2">
        <f t="shared" si="77"/>
        <v>6.3499999999999997E-3</v>
      </c>
      <c r="E103" s="2">
        <f t="shared" si="72"/>
        <v>2E-3</v>
      </c>
      <c r="F103" s="2">
        <v>6.8949999999999996</v>
      </c>
      <c r="G103" s="2">
        <v>10</v>
      </c>
      <c r="H103" s="3">
        <f t="shared" ref="H103:H105" si="78">(D103/(E103*(G103/60)))</f>
        <v>19.05</v>
      </c>
      <c r="I103" s="3">
        <f>AVERAGE(H103:H105)</f>
        <v>14.959999999999999</v>
      </c>
      <c r="J103" s="2">
        <f>_xlfn.STDEV.P(H103:H105)</f>
        <v>10.9344501462122</v>
      </c>
      <c r="K103">
        <f>H103/F103</f>
        <v>2.7628716461203773</v>
      </c>
      <c r="L103" s="3">
        <f>AVERAGE(K103:K105)</f>
        <v>2.1696881798404641</v>
      </c>
      <c r="M103" s="2">
        <f>_xlfn.STDEV.P(K103:K105)</f>
        <v>1.5858520879205511</v>
      </c>
      <c r="N103" s="10" t="s">
        <v>13</v>
      </c>
      <c r="O103" s="10">
        <v>33.01</v>
      </c>
      <c r="P103" s="10">
        <v>0.97</v>
      </c>
      <c r="Q103" s="11">
        <f t="shared" si="76"/>
        <v>97.061496516207214</v>
      </c>
      <c r="R103" s="11"/>
      <c r="S103" s="11">
        <f>AVERAGE(Q103:Q105)</f>
        <v>91.992325557911741</v>
      </c>
      <c r="T103" s="11">
        <f>_xlfn.STDEV.P(Q103:Q105)</f>
        <v>4.4556568397337548</v>
      </c>
    </row>
    <row r="104" spans="1:20" x14ac:dyDescent="0.3">
      <c r="A104" t="s">
        <v>16</v>
      </c>
      <c r="B104" s="2">
        <v>6.66</v>
      </c>
      <c r="C104" s="2">
        <v>15.27</v>
      </c>
      <c r="D104" s="2">
        <f t="shared" si="77"/>
        <v>8.6099999999999996E-3</v>
      </c>
      <c r="E104" s="2">
        <f t="shared" si="72"/>
        <v>2E-3</v>
      </c>
      <c r="F104" s="2">
        <v>6.8949999999999996</v>
      </c>
      <c r="G104" s="2">
        <v>10</v>
      </c>
      <c r="H104" s="3">
        <f t="shared" si="78"/>
        <v>25.83</v>
      </c>
      <c r="I104" s="3"/>
      <c r="J104" s="2"/>
      <c r="K104">
        <f t="shared" si="75"/>
        <v>3.7461928934010151</v>
      </c>
      <c r="N104" s="10" t="s">
        <v>14</v>
      </c>
      <c r="O104" s="10">
        <v>33.01</v>
      </c>
      <c r="P104" s="10">
        <v>4.55</v>
      </c>
      <c r="Q104" s="11">
        <f t="shared" si="76"/>
        <v>86.216298091487417</v>
      </c>
      <c r="R104" s="11"/>
      <c r="S104" s="10"/>
      <c r="T104" s="10"/>
    </row>
    <row r="105" spans="1:20" x14ac:dyDescent="0.3">
      <c r="A105" t="s">
        <v>34</v>
      </c>
      <c r="B105" s="2"/>
      <c r="C105" s="2"/>
      <c r="D105" s="2">
        <f t="shared" si="77"/>
        <v>0</v>
      </c>
      <c r="E105" s="2">
        <f t="shared" si="72"/>
        <v>2E-3</v>
      </c>
      <c r="F105" s="2">
        <v>6.8949999999999996</v>
      </c>
      <c r="G105" s="2">
        <v>10</v>
      </c>
      <c r="H105" s="3">
        <f t="shared" si="78"/>
        <v>0</v>
      </c>
      <c r="I105" s="3"/>
      <c r="J105" s="2"/>
      <c r="K105">
        <f t="shared" si="75"/>
        <v>0</v>
      </c>
      <c r="N105" s="10" t="s">
        <v>33</v>
      </c>
      <c r="O105" s="10">
        <v>33.01</v>
      </c>
      <c r="P105" s="10">
        <v>2.41</v>
      </c>
      <c r="Q105" s="11">
        <f t="shared" si="76"/>
        <v>92.699182066040606</v>
      </c>
      <c r="R105" s="11"/>
      <c r="S105" s="10"/>
      <c r="T105" s="10"/>
    </row>
    <row r="106" spans="1:20" x14ac:dyDescent="0.3">
      <c r="A106" t="s">
        <v>21</v>
      </c>
      <c r="N106" s="10" t="s">
        <v>15</v>
      </c>
      <c r="O106" s="10">
        <v>38.89</v>
      </c>
      <c r="P106" s="10">
        <v>2.5</v>
      </c>
      <c r="Q106" s="11">
        <f t="shared" si="76"/>
        <v>93.571612239650293</v>
      </c>
      <c r="R106" s="11"/>
      <c r="S106" s="11">
        <f>AVERAGE(Q106:Q108)</f>
        <v>88.557469786577528</v>
      </c>
      <c r="T106" s="11">
        <f>_xlfn.STDEV.P(Q106:Q108)</f>
        <v>4.0425649586952348</v>
      </c>
    </row>
    <row r="107" spans="1:20" x14ac:dyDescent="0.3">
      <c r="A107" t="s">
        <v>11</v>
      </c>
      <c r="B107" s="2">
        <v>6.68</v>
      </c>
      <c r="C107" s="2">
        <v>10.78</v>
      </c>
      <c r="D107" s="2">
        <f>(C107-B107)/1000</f>
        <v>4.0999999999999995E-3</v>
      </c>
      <c r="E107" s="2">
        <f>20/(100^2)</f>
        <v>2E-3</v>
      </c>
      <c r="F107" s="2">
        <f>6.895*1.5</f>
        <v>10.342499999999999</v>
      </c>
      <c r="G107" s="2">
        <v>10</v>
      </c>
      <c r="H107" s="3">
        <f>(D107/(E107*(G107/60)))</f>
        <v>12.299999999999999</v>
      </c>
      <c r="I107" s="3">
        <f>AVERAGE(H107:H109)</f>
        <v>17.3</v>
      </c>
      <c r="J107" s="2">
        <f>_xlfn.STDEV.P(H107:H109)</f>
        <v>4.9941565854506411</v>
      </c>
      <c r="K107">
        <f>H107/F107</f>
        <v>1.1892675852066714</v>
      </c>
      <c r="L107" s="3">
        <f>AVERAGE(K107:K109)</f>
        <v>1.6727096930142615</v>
      </c>
      <c r="M107" s="2">
        <f>_xlfn.STDEV.P(K107:K109)</f>
        <v>0.48287711727828359</v>
      </c>
      <c r="N107" s="10" t="s">
        <v>16</v>
      </c>
      <c r="O107" s="10">
        <v>38.89</v>
      </c>
      <c r="P107" s="10">
        <v>6.35</v>
      </c>
      <c r="Q107" s="11">
        <f t="shared" si="76"/>
        <v>83.67189508871175</v>
      </c>
      <c r="R107" s="11"/>
      <c r="S107" s="10"/>
      <c r="T107" s="10"/>
    </row>
    <row r="108" spans="1:20" x14ac:dyDescent="0.3">
      <c r="A108" t="s">
        <v>12</v>
      </c>
      <c r="B108" s="2">
        <v>6.67</v>
      </c>
      <c r="C108" s="2">
        <v>11.83</v>
      </c>
      <c r="D108" s="2">
        <f t="shared" ref="D108:D109" si="79">(C108-B108)/1000</f>
        <v>5.1600000000000005E-3</v>
      </c>
      <c r="E108" s="2">
        <f t="shared" ref="E108:E115" si="80">20/(100^2)</f>
        <v>2E-3</v>
      </c>
      <c r="F108" s="2">
        <f t="shared" ref="F108:F109" si="81">6.895*1.5</f>
        <v>10.342499999999999</v>
      </c>
      <c r="G108" s="2">
        <v>10</v>
      </c>
      <c r="H108" s="3">
        <f t="shared" ref="H108:H110" si="82">(D108/(E108*(G108/60)))</f>
        <v>15.480000000000002</v>
      </c>
      <c r="I108" s="3"/>
      <c r="J108" s="3"/>
      <c r="K108">
        <f t="shared" ref="K108:K115" si="83">H108/F108</f>
        <v>1.496736765772299</v>
      </c>
      <c r="L108" s="3"/>
      <c r="M108" s="3"/>
      <c r="N108" s="10" t="s">
        <v>34</v>
      </c>
      <c r="O108" s="10">
        <v>38.89</v>
      </c>
      <c r="P108" s="10">
        <v>4.5</v>
      </c>
      <c r="Q108" s="11">
        <f t="shared" si="76"/>
        <v>88.428902031370527</v>
      </c>
      <c r="R108" s="11"/>
      <c r="S108" s="10"/>
      <c r="T108" s="10"/>
    </row>
    <row r="109" spans="1:20" x14ac:dyDescent="0.3">
      <c r="A109" t="s">
        <v>32</v>
      </c>
      <c r="B109" s="2">
        <v>6.71</v>
      </c>
      <c r="C109" s="2">
        <v>14.75</v>
      </c>
      <c r="D109" s="2">
        <f t="shared" si="79"/>
        <v>8.0399999999999985E-3</v>
      </c>
      <c r="E109" s="2">
        <f t="shared" si="80"/>
        <v>2E-3</v>
      </c>
      <c r="F109" s="2">
        <f t="shared" si="81"/>
        <v>10.342499999999999</v>
      </c>
      <c r="G109" s="2">
        <v>10</v>
      </c>
      <c r="H109" s="3">
        <f t="shared" si="82"/>
        <v>24.119999999999997</v>
      </c>
      <c r="I109" s="3"/>
      <c r="J109" s="3"/>
      <c r="K109">
        <f t="shared" si="83"/>
        <v>2.3321247280638144</v>
      </c>
      <c r="L109" s="3"/>
      <c r="M109" s="3"/>
      <c r="N109" s="12" t="s">
        <v>21</v>
      </c>
      <c r="O109" s="12"/>
      <c r="P109" s="12"/>
      <c r="Q109" s="13" t="e">
        <f>(O109-P109)*100/O109</f>
        <v>#DIV/0!</v>
      </c>
      <c r="R109" s="13"/>
      <c r="S109" s="12"/>
      <c r="T109" s="12"/>
    </row>
    <row r="110" spans="1:20" x14ac:dyDescent="0.3">
      <c r="A110" t="s">
        <v>13</v>
      </c>
      <c r="B110" s="2">
        <v>6.67</v>
      </c>
      <c r="C110" s="2">
        <v>11.82</v>
      </c>
      <c r="D110" s="2">
        <f>(C110-B110)/1000</f>
        <v>5.1500000000000001E-3</v>
      </c>
      <c r="E110" s="2">
        <f t="shared" si="80"/>
        <v>2E-3</v>
      </c>
      <c r="F110" s="2">
        <v>6.8949999999999996</v>
      </c>
      <c r="G110" s="2">
        <v>10</v>
      </c>
      <c r="H110" s="3">
        <f t="shared" si="82"/>
        <v>15.450000000000001</v>
      </c>
      <c r="I110" s="3">
        <f>AVERAGE(H110:H112)</f>
        <v>19.849999999999998</v>
      </c>
      <c r="J110" s="2">
        <f>_xlfn.STDEV.P(H110:H112)</f>
        <v>3.2208073522022547</v>
      </c>
      <c r="K110">
        <f>H110/F110</f>
        <v>2.2407541696881803</v>
      </c>
      <c r="L110" s="3">
        <f>AVERAGE(K110:K112)</f>
        <v>2.8788977519941987</v>
      </c>
      <c r="M110" s="2">
        <f>_xlfn.STDEV.P(K110:K112)</f>
        <v>0.46712216855725086</v>
      </c>
      <c r="N110" s="12" t="s">
        <v>11</v>
      </c>
      <c r="O110" s="12">
        <v>34.020000000000003</v>
      </c>
      <c r="P110" s="12">
        <v>2.39</v>
      </c>
      <c r="Q110" s="13">
        <f t="shared" ref="Q110:Q118" si="84">(O110-P110)*100/O110</f>
        <v>92.974720752498541</v>
      </c>
      <c r="R110" s="13"/>
      <c r="S110" s="13">
        <f>AVERAGE(Q110:Q112)</f>
        <v>94.728591024887308</v>
      </c>
      <c r="T110" s="13">
        <f>_xlfn.STDEV.P(Q110:Q112)</f>
        <v>1.9463098037815467</v>
      </c>
    </row>
    <row r="111" spans="1:20" x14ac:dyDescent="0.3">
      <c r="A111" t="s">
        <v>14</v>
      </c>
      <c r="B111" s="2">
        <v>6.69</v>
      </c>
      <c r="C111" s="2">
        <v>14.38</v>
      </c>
      <c r="D111" s="2">
        <f t="shared" ref="D111:D115" si="85">(C111-B111)/1000</f>
        <v>7.6900000000000007E-3</v>
      </c>
      <c r="E111" s="2">
        <f t="shared" si="80"/>
        <v>2E-3</v>
      </c>
      <c r="F111" s="2">
        <v>6.8949999999999996</v>
      </c>
      <c r="G111" s="2">
        <v>10</v>
      </c>
      <c r="H111" s="3">
        <f>(D111/(E111*(G111/60)))</f>
        <v>23.070000000000004</v>
      </c>
      <c r="I111" s="3"/>
      <c r="J111" s="2"/>
      <c r="K111">
        <f t="shared" si="83"/>
        <v>3.3459028281363312</v>
      </c>
      <c r="L111" s="3"/>
      <c r="M111" s="2"/>
      <c r="N111" s="12" t="s">
        <v>12</v>
      </c>
      <c r="O111" s="12">
        <v>34.020000000000003</v>
      </c>
      <c r="P111" s="12">
        <v>0.87</v>
      </c>
      <c r="Q111" s="13">
        <f t="shared" si="84"/>
        <v>97.442680776014114</v>
      </c>
      <c r="R111" s="13"/>
      <c r="S111" s="13"/>
      <c r="T111" s="13"/>
    </row>
    <row r="112" spans="1:20" x14ac:dyDescent="0.3">
      <c r="A112" t="s">
        <v>33</v>
      </c>
      <c r="B112" s="2">
        <v>6.69</v>
      </c>
      <c r="C112" s="2">
        <v>13.7</v>
      </c>
      <c r="D112" s="2">
        <f t="shared" si="85"/>
        <v>7.0099999999999989E-3</v>
      </c>
      <c r="E112" s="2">
        <f t="shared" si="80"/>
        <v>2E-3</v>
      </c>
      <c r="F112" s="2">
        <v>6.8949999999999996</v>
      </c>
      <c r="G112" s="2">
        <v>10</v>
      </c>
      <c r="H112" s="3">
        <f>(D112/(E112*(G112/60)))</f>
        <v>21.029999999999998</v>
      </c>
      <c r="I112" s="3"/>
      <c r="J112" s="2"/>
      <c r="K112">
        <f t="shared" si="83"/>
        <v>3.0500362581580855</v>
      </c>
      <c r="L112" s="3"/>
      <c r="M112" s="2"/>
      <c r="N112" s="12" t="s">
        <v>32</v>
      </c>
      <c r="O112" s="12">
        <v>34.020000000000003</v>
      </c>
      <c r="P112" s="12">
        <v>2.12</v>
      </c>
      <c r="Q112" s="13">
        <f t="shared" si="84"/>
        <v>93.768371546149311</v>
      </c>
      <c r="R112" s="13"/>
      <c r="S112" s="13"/>
      <c r="T112" s="13"/>
    </row>
    <row r="113" spans="1:20" x14ac:dyDescent="0.3">
      <c r="A113" t="s">
        <v>15</v>
      </c>
      <c r="B113" s="2">
        <v>6.67</v>
      </c>
      <c r="C113" s="2">
        <v>12.98</v>
      </c>
      <c r="D113" s="2">
        <f t="shared" si="85"/>
        <v>6.3100000000000005E-3</v>
      </c>
      <c r="E113" s="2">
        <f t="shared" si="80"/>
        <v>2E-3</v>
      </c>
      <c r="F113" s="2">
        <v>6.8949999999999996</v>
      </c>
      <c r="G113" s="2">
        <v>10</v>
      </c>
      <c r="H113" s="3">
        <f t="shared" ref="H113:H115" si="86">(D113/(E113*(G113/60)))</f>
        <v>18.930000000000003</v>
      </c>
      <c r="I113" s="3">
        <f>AVERAGE(H113:H115)</f>
        <v>14.770000000000001</v>
      </c>
      <c r="J113" s="2">
        <f>_xlfn.STDEV.P(H113:H115)</f>
        <v>10.770803126972474</v>
      </c>
      <c r="K113">
        <f>H113/F113</f>
        <v>2.7454677302393047</v>
      </c>
      <c r="L113" s="3">
        <f>AVERAGE(K113:K115)</f>
        <v>2.1421319796954319</v>
      </c>
      <c r="M113" s="2">
        <f>_xlfn.STDEV.P(K113:K115)</f>
        <v>1.5621179299452461</v>
      </c>
      <c r="N113" s="12" t="s">
        <v>13</v>
      </c>
      <c r="O113" s="12">
        <v>32.39</v>
      </c>
      <c r="P113" s="12">
        <v>1.04</v>
      </c>
      <c r="Q113" s="13">
        <f t="shared" si="84"/>
        <v>96.789132448286509</v>
      </c>
      <c r="R113" s="13"/>
      <c r="S113" s="13">
        <f>AVERAGE(Q113:Q115)</f>
        <v>92.538849439127304</v>
      </c>
      <c r="T113" s="13">
        <f>_xlfn.STDEV.P(Q113:Q115)</f>
        <v>3.898438804877344</v>
      </c>
    </row>
    <row r="114" spans="1:20" x14ac:dyDescent="0.3">
      <c r="A114" t="s">
        <v>16</v>
      </c>
      <c r="B114" s="2">
        <v>6.67</v>
      </c>
      <c r="C114" s="2">
        <v>15.13</v>
      </c>
      <c r="D114" s="2">
        <f t="shared" si="85"/>
        <v>8.4600000000000005E-3</v>
      </c>
      <c r="E114" s="2">
        <f t="shared" si="80"/>
        <v>2E-3</v>
      </c>
      <c r="F114" s="2">
        <v>6.8949999999999996</v>
      </c>
      <c r="G114" s="2">
        <v>10</v>
      </c>
      <c r="H114" s="3">
        <f t="shared" si="86"/>
        <v>25.380000000000003</v>
      </c>
      <c r="I114" s="3"/>
      <c r="J114" s="2"/>
      <c r="K114">
        <f t="shared" si="83"/>
        <v>3.680928208846991</v>
      </c>
      <c r="N114" s="12" t="s">
        <v>14</v>
      </c>
      <c r="O114" s="12">
        <v>32.39</v>
      </c>
      <c r="P114" s="12">
        <v>4.09</v>
      </c>
      <c r="Q114" s="13">
        <f t="shared" si="84"/>
        <v>87.372645878357517</v>
      </c>
      <c r="R114" s="13"/>
      <c r="S114" s="12"/>
      <c r="T114" s="12"/>
    </row>
    <row r="115" spans="1:20" x14ac:dyDescent="0.3">
      <c r="A115" t="s">
        <v>34</v>
      </c>
      <c r="B115" s="2"/>
      <c r="C115" s="2"/>
      <c r="D115" s="2">
        <f t="shared" si="85"/>
        <v>0</v>
      </c>
      <c r="E115" s="2">
        <f t="shared" si="80"/>
        <v>2E-3</v>
      </c>
      <c r="F115" s="2">
        <v>6.8949999999999996</v>
      </c>
      <c r="G115" s="2">
        <v>10</v>
      </c>
      <c r="H115" s="3">
        <f t="shared" si="86"/>
        <v>0</v>
      </c>
      <c r="I115" s="3"/>
      <c r="J115" s="2"/>
      <c r="K115">
        <f t="shared" si="83"/>
        <v>0</v>
      </c>
      <c r="N115" s="12" t="s">
        <v>33</v>
      </c>
      <c r="O115" s="12">
        <v>32.39</v>
      </c>
      <c r="P115" s="12">
        <v>2.12</v>
      </c>
      <c r="Q115" s="13">
        <f t="shared" si="84"/>
        <v>93.454769990737887</v>
      </c>
      <c r="R115" s="13"/>
      <c r="S115" s="12"/>
      <c r="T115" s="12"/>
    </row>
    <row r="116" spans="1:20" x14ac:dyDescent="0.3">
      <c r="A116" t="s">
        <v>22</v>
      </c>
      <c r="N116" s="12" t="s">
        <v>15</v>
      </c>
      <c r="O116" s="12">
        <v>38.68</v>
      </c>
      <c r="P116" s="12">
        <v>2.2200000000000002</v>
      </c>
      <c r="Q116" s="13">
        <f t="shared" si="84"/>
        <v>94.260599793174762</v>
      </c>
      <c r="R116" s="13"/>
      <c r="S116" s="13">
        <f>AVERAGE(Q116:Q118)</f>
        <v>90.356773526370205</v>
      </c>
      <c r="T116" s="13">
        <f>_xlfn.STDEV.P(Q116:Q118)</f>
        <v>4.176864889867276</v>
      </c>
    </row>
    <row r="117" spans="1:20" x14ac:dyDescent="0.3">
      <c r="A117" t="s">
        <v>11</v>
      </c>
      <c r="B117" s="2">
        <v>6.66</v>
      </c>
      <c r="C117" s="2">
        <v>10.71</v>
      </c>
      <c r="D117" s="2">
        <f>(C117-B117)/1000</f>
        <v>4.0500000000000006E-3</v>
      </c>
      <c r="E117" s="2">
        <f>20/(100^2)</f>
        <v>2E-3</v>
      </c>
      <c r="F117" s="2">
        <f>6.895*1.5</f>
        <v>10.342499999999999</v>
      </c>
      <c r="G117" s="2">
        <v>10</v>
      </c>
      <c r="H117" s="3">
        <f>(D117/(E117*(G117/60)))</f>
        <v>12.150000000000002</v>
      </c>
      <c r="I117" s="3">
        <f>AVERAGE(H117:H119)</f>
        <v>17.150000000000002</v>
      </c>
      <c r="J117" s="2">
        <f>_xlfn.STDEV.P(H117:H119)</f>
        <v>4.9768865769675754</v>
      </c>
      <c r="K117">
        <f>H117/F117</f>
        <v>1.1747643219724442</v>
      </c>
      <c r="L117" s="3">
        <f>AVERAGE(K117:K119)</f>
        <v>1.6582064297800343</v>
      </c>
      <c r="M117" s="2">
        <f>_xlfn.STDEV.P(K117:K119)</f>
        <v>0.48120730741770135</v>
      </c>
      <c r="N117" s="12" t="s">
        <v>16</v>
      </c>
      <c r="O117" s="12">
        <v>38.68</v>
      </c>
      <c r="P117" s="12">
        <v>5.97</v>
      </c>
      <c r="Q117" s="13">
        <f t="shared" si="84"/>
        <v>84.565667011375382</v>
      </c>
      <c r="R117" s="13"/>
      <c r="S117" s="12"/>
      <c r="T117" s="12"/>
    </row>
    <row r="118" spans="1:20" x14ac:dyDescent="0.3">
      <c r="A118" t="s">
        <v>12</v>
      </c>
      <c r="B118" s="2">
        <v>6.65</v>
      </c>
      <c r="C118" s="2">
        <v>11.77</v>
      </c>
      <c r="D118" s="2">
        <f>(C118-B118)/1000</f>
        <v>5.1199999999999996E-3</v>
      </c>
      <c r="E118" s="2">
        <f t="shared" ref="E118:E125" si="87">20/(100^2)</f>
        <v>2E-3</v>
      </c>
      <c r="F118" s="2">
        <f t="shared" ref="F118:F119" si="88">6.895*1.5</f>
        <v>10.342499999999999</v>
      </c>
      <c r="G118" s="2">
        <v>10</v>
      </c>
      <c r="H118" s="3">
        <f>(D118/(E118*(G118/60)))</f>
        <v>15.36</v>
      </c>
      <c r="I118" s="3"/>
      <c r="J118" s="3"/>
      <c r="K118">
        <f>H118/F118</f>
        <v>1.4851341551849166</v>
      </c>
      <c r="L118" s="3"/>
      <c r="M118" s="3"/>
      <c r="N118" s="12" t="s">
        <v>34</v>
      </c>
      <c r="O118" s="12">
        <v>38.68</v>
      </c>
      <c r="P118" s="12">
        <v>3</v>
      </c>
      <c r="Q118" s="13">
        <f t="shared" si="84"/>
        <v>92.244053774560498</v>
      </c>
      <c r="R118" s="13"/>
      <c r="S118" s="12"/>
      <c r="T118" s="12"/>
    </row>
    <row r="119" spans="1:20" x14ac:dyDescent="0.3">
      <c r="A119" t="s">
        <v>32</v>
      </c>
      <c r="B119" s="2">
        <v>6.67</v>
      </c>
      <c r="C119" s="2">
        <v>14.65</v>
      </c>
      <c r="D119" s="2">
        <f>(C119-B119)/1000</f>
        <v>7.980000000000001E-3</v>
      </c>
      <c r="E119" s="2">
        <f t="shared" si="87"/>
        <v>2E-3</v>
      </c>
      <c r="F119" s="2">
        <f t="shared" si="88"/>
        <v>10.342499999999999</v>
      </c>
      <c r="G119" s="2">
        <v>10</v>
      </c>
      <c r="H119" s="3">
        <f>(D119/(E119*(G119/60)))</f>
        <v>23.940000000000005</v>
      </c>
      <c r="I119" s="3"/>
      <c r="J119" s="3"/>
      <c r="K119">
        <f>H119/F119</f>
        <v>2.3147208121827418</v>
      </c>
      <c r="L119" s="3"/>
      <c r="M119" s="3"/>
      <c r="N119" s="14" t="s">
        <v>22</v>
      </c>
      <c r="O119" s="14"/>
      <c r="P119" s="14"/>
      <c r="Q119" s="15" t="e">
        <f>(O119-P119)*100/O119</f>
        <v>#DIV/0!</v>
      </c>
      <c r="R119" s="15"/>
      <c r="S119" s="14"/>
      <c r="T119" s="14"/>
    </row>
    <row r="120" spans="1:20" x14ac:dyDescent="0.3">
      <c r="A120" t="s">
        <v>13</v>
      </c>
      <c r="B120" s="2">
        <v>6.69</v>
      </c>
      <c r="C120" s="2">
        <v>11.81</v>
      </c>
      <c r="D120" s="2">
        <f>(C120-B120)/1000</f>
        <v>5.1200000000000004E-3</v>
      </c>
      <c r="E120" s="2">
        <f t="shared" si="87"/>
        <v>2E-3</v>
      </c>
      <c r="F120" s="2">
        <v>6.8949999999999996</v>
      </c>
      <c r="G120" s="2">
        <v>10</v>
      </c>
      <c r="H120" s="3">
        <f t="shared" ref="H120" si="89">(D120/(E120*(G120/60)))</f>
        <v>15.360000000000001</v>
      </c>
      <c r="I120" s="3">
        <f>AVERAGE(H120:H122)</f>
        <v>19.78</v>
      </c>
      <c r="J120" s="2">
        <f>_xlfn.STDEV.P(H120:H122)</f>
        <v>3.2344705903748747</v>
      </c>
      <c r="K120">
        <f>H120/F120</f>
        <v>2.2277012327773753</v>
      </c>
      <c r="L120" s="3">
        <f>AVERAGE(K120:K122)</f>
        <v>2.8687454677302395</v>
      </c>
      <c r="M120" s="2">
        <f>_xlfn.STDEV.P(K120:K122)</f>
        <v>0.46910378395574659</v>
      </c>
      <c r="N120" s="14" t="s">
        <v>11</v>
      </c>
      <c r="O120" s="14">
        <v>35.19</v>
      </c>
      <c r="P120" s="14">
        <v>2.2200000000000002</v>
      </c>
      <c r="Q120" s="15">
        <f t="shared" ref="Q120:Q128" si="90">(O120-P120)*100/O120</f>
        <v>93.691389599318001</v>
      </c>
      <c r="R120" s="15"/>
      <c r="S120" s="15">
        <f>AVERAGE(Q120:Q122)</f>
        <v>94.941744813867601</v>
      </c>
      <c r="T120" s="15">
        <f>_xlfn.STDEV.P(Q120:Q122)</f>
        <v>1.7083419568274096</v>
      </c>
    </row>
    <row r="121" spans="1:20" x14ac:dyDescent="0.3">
      <c r="A121" t="s">
        <v>14</v>
      </c>
      <c r="B121" s="2">
        <v>6.67</v>
      </c>
      <c r="C121" s="2">
        <v>14.34</v>
      </c>
      <c r="D121" s="2">
        <f t="shared" ref="D121:D123" si="91">(C121-B121)/1000</f>
        <v>7.6699999999999997E-3</v>
      </c>
      <c r="E121" s="2">
        <f t="shared" si="87"/>
        <v>2E-3</v>
      </c>
      <c r="F121" s="2">
        <v>6.8949999999999996</v>
      </c>
      <c r="G121" s="2">
        <v>10</v>
      </c>
      <c r="H121" s="3">
        <f>(D121/(E121*(G121/60)))</f>
        <v>23.01</v>
      </c>
      <c r="I121" s="3"/>
      <c r="J121" s="2"/>
      <c r="K121">
        <f t="shared" ref="K121:K122" si="92">H121/F121</f>
        <v>3.3372008701957947</v>
      </c>
      <c r="L121" s="3"/>
      <c r="M121" s="2"/>
      <c r="N121" s="14" t="s">
        <v>12</v>
      </c>
      <c r="O121" s="14">
        <v>35.19</v>
      </c>
      <c r="P121" s="14">
        <v>0.93</v>
      </c>
      <c r="Q121" s="15">
        <f t="shared" si="90"/>
        <v>97.357203751065654</v>
      </c>
      <c r="R121" s="15"/>
      <c r="S121" s="15"/>
      <c r="T121" s="15"/>
    </row>
    <row r="122" spans="1:20" x14ac:dyDescent="0.3">
      <c r="A122" t="s">
        <v>33</v>
      </c>
      <c r="B122" s="2">
        <v>6.7</v>
      </c>
      <c r="C122" s="2">
        <v>13.69</v>
      </c>
      <c r="D122" s="2">
        <f t="shared" si="91"/>
        <v>6.9899999999999997E-3</v>
      </c>
      <c r="E122" s="2">
        <f t="shared" si="87"/>
        <v>2E-3</v>
      </c>
      <c r="F122" s="2">
        <v>6.8949999999999996</v>
      </c>
      <c r="G122" s="2">
        <v>10</v>
      </c>
      <c r="H122" s="3">
        <f>(D122/(E122*(G122/60)))</f>
        <v>20.97</v>
      </c>
      <c r="I122" s="3"/>
      <c r="J122" s="2"/>
      <c r="K122">
        <f t="shared" si="92"/>
        <v>3.041334300217549</v>
      </c>
      <c r="L122" s="3"/>
      <c r="M122" s="2"/>
      <c r="N122" s="14" t="s">
        <v>32</v>
      </c>
      <c r="O122" s="14">
        <v>35.19</v>
      </c>
      <c r="P122" s="14">
        <v>2.19</v>
      </c>
      <c r="Q122" s="15">
        <f t="shared" si="90"/>
        <v>93.776641091219105</v>
      </c>
      <c r="R122" s="15"/>
      <c r="S122" s="15"/>
      <c r="T122" s="15"/>
    </row>
    <row r="123" spans="1:20" x14ac:dyDescent="0.3">
      <c r="A123" t="s">
        <v>15</v>
      </c>
      <c r="B123" s="2">
        <v>6.64</v>
      </c>
      <c r="C123" s="2">
        <v>12.88</v>
      </c>
      <c r="D123" s="2">
        <f t="shared" si="91"/>
        <v>6.2400000000000008E-3</v>
      </c>
      <c r="E123" s="2">
        <f t="shared" si="87"/>
        <v>2E-3</v>
      </c>
      <c r="F123" s="2">
        <v>6.8949999999999996</v>
      </c>
      <c r="G123" s="2">
        <v>10</v>
      </c>
      <c r="H123" s="3">
        <f t="shared" ref="H123" si="93">(D123/(E123*(G123/60)))</f>
        <v>18.720000000000002</v>
      </c>
      <c r="I123" s="3">
        <f>AVERAGE(H123:H125)</f>
        <v>14.62</v>
      </c>
      <c r="J123" s="2">
        <f>_xlfn.STDEV.P(H123:H125)</f>
        <v>10.6649706985064</v>
      </c>
      <c r="K123">
        <f>H123/F123</f>
        <v>2.7150108774474262</v>
      </c>
      <c r="L123" s="3">
        <f>AVERAGE(K123:K125)</f>
        <v>2.1203770848440904</v>
      </c>
      <c r="M123" s="2">
        <f>_xlfn.STDEV.P(K123:K125)</f>
        <v>1.546768774257635</v>
      </c>
      <c r="N123" s="14" t="s">
        <v>13</v>
      </c>
      <c r="O123" s="14">
        <v>31.11</v>
      </c>
      <c r="P123" s="14">
        <v>0.95</v>
      </c>
      <c r="Q123" s="15">
        <f t="shared" si="90"/>
        <v>96.946319511411119</v>
      </c>
      <c r="R123" s="15"/>
      <c r="S123" s="15">
        <f>AVERAGE(Q123:Q125)</f>
        <v>92.939033536912049</v>
      </c>
      <c r="T123" s="15">
        <f>_xlfn.STDEV.P(Q123:Q125)</f>
        <v>3.6722405935963485</v>
      </c>
    </row>
    <row r="124" spans="1:20" x14ac:dyDescent="0.3">
      <c r="B124" s="2">
        <v>6.68</v>
      </c>
      <c r="C124" s="2">
        <v>15.06</v>
      </c>
      <c r="D124" s="2">
        <f t="shared" ref="D124:D125" si="94">(C124-B124)/1000</f>
        <v>8.3800000000000003E-3</v>
      </c>
      <c r="E124" s="2">
        <f t="shared" si="87"/>
        <v>2E-3</v>
      </c>
      <c r="F124" s="2">
        <v>6.8949999999999996</v>
      </c>
      <c r="G124" s="2">
        <v>10</v>
      </c>
      <c r="H124" s="3">
        <f t="shared" ref="H124:H125" si="95">(D124/(E124*(G124/60)))</f>
        <v>25.14</v>
      </c>
      <c r="I124" s="3">
        <f t="shared" ref="I124:I125" si="96">AVERAGE(H124:H126)</f>
        <v>12.57</v>
      </c>
      <c r="J124" s="2">
        <f t="shared" ref="J124:J125" si="97">_xlfn.STDEV.P(H124:H126)</f>
        <v>12.57</v>
      </c>
      <c r="K124">
        <f t="shared" ref="K124:K125" si="98">H124/F124</f>
        <v>3.6461203770848445</v>
      </c>
      <c r="L124" s="3">
        <f t="shared" ref="L124:L125" si="99">AVERAGE(K124:K126)</f>
        <v>1.8230601885424222</v>
      </c>
      <c r="M124" s="2">
        <f t="shared" ref="M124:M125" si="100">_xlfn.STDEV.P(K124:K126)</f>
        <v>1.8230601885424222</v>
      </c>
      <c r="N124" s="14" t="s">
        <v>14</v>
      </c>
      <c r="O124" s="14">
        <v>31.11</v>
      </c>
      <c r="P124" s="14">
        <v>3.71</v>
      </c>
      <c r="Q124" s="15">
        <f t="shared" si="90"/>
        <v>88.074574091931851</v>
      </c>
      <c r="R124" s="15"/>
      <c r="S124" s="14"/>
      <c r="T124" s="14"/>
    </row>
    <row r="125" spans="1:20" x14ac:dyDescent="0.3">
      <c r="B125" s="2"/>
      <c r="C125" s="2"/>
      <c r="D125" s="2">
        <f t="shared" si="94"/>
        <v>0</v>
      </c>
      <c r="E125" s="2">
        <f t="shared" si="87"/>
        <v>2E-3</v>
      </c>
      <c r="F125" s="2">
        <v>6.8949999999999996</v>
      </c>
      <c r="G125" s="2">
        <v>10</v>
      </c>
      <c r="H125" s="3">
        <f t="shared" si="95"/>
        <v>0</v>
      </c>
      <c r="I125" s="3">
        <f t="shared" si="96"/>
        <v>0</v>
      </c>
      <c r="J125" s="2">
        <f t="shared" si="97"/>
        <v>0</v>
      </c>
      <c r="K125">
        <f t="shared" si="98"/>
        <v>0</v>
      </c>
      <c r="L125" s="3">
        <f t="shared" si="99"/>
        <v>0</v>
      </c>
      <c r="M125" s="2">
        <f t="shared" si="100"/>
        <v>0</v>
      </c>
      <c r="N125" s="14" t="s">
        <v>33</v>
      </c>
      <c r="O125" s="14">
        <v>31.11</v>
      </c>
      <c r="P125" s="14">
        <v>1.93</v>
      </c>
      <c r="Q125" s="15">
        <f t="shared" si="90"/>
        <v>93.796207007393122</v>
      </c>
      <c r="R125" s="15"/>
      <c r="S125" s="14"/>
      <c r="T125" s="14"/>
    </row>
    <row r="126" spans="1:20" x14ac:dyDescent="0.3">
      <c r="N126" s="14" t="s">
        <v>15</v>
      </c>
      <c r="O126" s="14">
        <v>38.65</v>
      </c>
      <c r="P126" s="14">
        <v>2.13</v>
      </c>
      <c r="Q126" s="15">
        <f t="shared" si="90"/>
        <v>94.489003880983176</v>
      </c>
      <c r="R126" s="15"/>
      <c r="S126" s="15">
        <f>AVERAGE(Q126:Q128)</f>
        <v>91.470461405778352</v>
      </c>
      <c r="T126" s="15">
        <f>_xlfn.STDEV.P(Q126:Q128)</f>
        <v>3.6131428230004978</v>
      </c>
    </row>
    <row r="127" spans="1:20" x14ac:dyDescent="0.3">
      <c r="N127" s="14" t="s">
        <v>16</v>
      </c>
      <c r="O127" s="14">
        <v>38.65</v>
      </c>
      <c r="P127" s="14">
        <v>5.26</v>
      </c>
      <c r="Q127" s="15">
        <f t="shared" si="90"/>
        <v>86.390685640362221</v>
      </c>
      <c r="R127" s="15"/>
      <c r="S127" s="14"/>
      <c r="T127" s="14"/>
    </row>
    <row r="128" spans="1:20" x14ac:dyDescent="0.3">
      <c r="N128" s="14" t="s">
        <v>34</v>
      </c>
      <c r="O128" s="14">
        <v>38.65</v>
      </c>
      <c r="P128" s="14">
        <v>2.5</v>
      </c>
      <c r="Q128" s="15">
        <f t="shared" si="90"/>
        <v>93.531694695989657</v>
      </c>
      <c r="R128" s="15"/>
      <c r="S128" s="14"/>
      <c r="T128" s="14"/>
    </row>
  </sheetData>
  <mergeCells count="8">
    <mergeCell ref="V71:AD71"/>
    <mergeCell ref="V72:X72"/>
    <mergeCell ref="Y72:AA72"/>
    <mergeCell ref="AB72:AD72"/>
    <mergeCell ref="V2:AD2"/>
    <mergeCell ref="V3:X3"/>
    <mergeCell ref="Y3:AA3"/>
    <mergeCell ref="AB3:A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964D-7B19-40FD-B183-08848CDC0C72}">
  <dimension ref="A1:AL160"/>
  <sheetViews>
    <sheetView zoomScale="85" zoomScaleNormal="85" workbookViewId="0">
      <selection activeCell="AH5" sqref="AH5:AH10"/>
    </sheetView>
  </sheetViews>
  <sheetFormatPr defaultRowHeight="14.4" x14ac:dyDescent="0.3"/>
  <cols>
    <col min="5" max="5" width="12.6640625" customWidth="1"/>
    <col min="6" max="6" width="12.109375" bestFit="1" customWidth="1"/>
    <col min="7" max="7" width="12.44140625" customWidth="1"/>
    <col min="11" max="11" width="11.5546875" customWidth="1"/>
    <col min="12" max="12" width="9.6640625" customWidth="1"/>
    <col min="15" max="15" width="9" bestFit="1" customWidth="1"/>
    <col min="17" max="17" width="12.109375" bestFit="1" customWidth="1"/>
    <col min="18" max="18" width="9.6640625" bestFit="1" customWidth="1"/>
    <col min="22" max="22" width="12.44140625" bestFit="1" customWidth="1"/>
    <col min="23" max="23" width="11.109375" bestFit="1" customWidth="1"/>
  </cols>
  <sheetData>
    <row r="1" spans="1:38" ht="43.2" x14ac:dyDescent="0.3">
      <c r="A1" s="16" t="s">
        <v>0</v>
      </c>
      <c r="B1" s="16" t="s">
        <v>1</v>
      </c>
      <c r="C1" s="1" t="s">
        <v>2</v>
      </c>
      <c r="D1" s="16" t="s">
        <v>3</v>
      </c>
      <c r="E1" s="1" t="s">
        <v>4</v>
      </c>
      <c r="F1" s="16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23</v>
      </c>
      <c r="L1" s="1" t="s">
        <v>24</v>
      </c>
      <c r="M1" s="1" t="s">
        <v>9</v>
      </c>
      <c r="N1" s="16"/>
      <c r="O1" s="16"/>
      <c r="P1" s="16"/>
      <c r="Q1" s="16"/>
      <c r="R1" s="25"/>
      <c r="S1" s="25"/>
      <c r="T1" s="25"/>
      <c r="U1" s="25"/>
      <c r="V1" s="25"/>
      <c r="W1" s="25"/>
      <c r="X1" s="25"/>
    </row>
    <row r="2" spans="1:38" x14ac:dyDescent="0.3">
      <c r="A2" s="2" t="s">
        <v>10</v>
      </c>
      <c r="B2" s="2"/>
      <c r="C2" s="2"/>
      <c r="D2" s="2"/>
      <c r="E2" s="2"/>
      <c r="F2" s="2"/>
      <c r="G2" s="2"/>
      <c r="H2" s="2"/>
      <c r="I2" s="2"/>
      <c r="J2" s="2"/>
      <c r="AB2" s="50" t="s">
        <v>27</v>
      </c>
      <c r="AC2" s="50"/>
      <c r="AD2" s="50"/>
      <c r="AE2" s="50"/>
      <c r="AF2" s="50"/>
      <c r="AG2" s="50"/>
      <c r="AH2" s="50"/>
      <c r="AI2" s="50"/>
      <c r="AJ2" s="50"/>
      <c r="AK2" s="50"/>
      <c r="AL2" s="50"/>
    </row>
    <row r="3" spans="1:38" x14ac:dyDescent="0.3">
      <c r="A3" s="2" t="s">
        <v>11</v>
      </c>
      <c r="B3" s="2">
        <v>6.68</v>
      </c>
      <c r="C3" s="2">
        <v>11.19</v>
      </c>
      <c r="D3" s="2">
        <f>(C3-B3)/1000</f>
        <v>4.5100000000000001E-3</v>
      </c>
      <c r="E3" s="2">
        <f>20/(100^2)</f>
        <v>2E-3</v>
      </c>
      <c r="F3" s="2">
        <f>6.895*1.5</f>
        <v>10.342499999999999</v>
      </c>
      <c r="G3" s="2">
        <v>10</v>
      </c>
      <c r="H3" s="3">
        <f>(D3/(E3*(G3/60)))</f>
        <v>13.530000000000001</v>
      </c>
      <c r="I3" s="3">
        <f>AVERAGE(H3:H5)</f>
        <v>20.2</v>
      </c>
      <c r="J3" s="2">
        <f>_xlfn.STDEV.P(H3:H5)</f>
        <v>6.1557940186461755</v>
      </c>
      <c r="K3">
        <f>H3/F3</f>
        <v>1.3081943437273389</v>
      </c>
      <c r="L3" s="3">
        <f>AVERAGE(K3:K5)</f>
        <v>1.9531061155426637</v>
      </c>
      <c r="M3" s="2">
        <f>_xlfn.STDEV.P(K3:K5)</f>
        <v>0.59519400712073223</v>
      </c>
      <c r="AB3" s="50" t="s">
        <v>29</v>
      </c>
      <c r="AC3" s="50"/>
      <c r="AD3" s="50"/>
      <c r="AE3" s="50" t="s">
        <v>30</v>
      </c>
      <c r="AF3" s="50"/>
      <c r="AG3" s="50"/>
      <c r="AH3" s="50" t="s">
        <v>31</v>
      </c>
      <c r="AI3" s="50"/>
      <c r="AJ3" s="50"/>
    </row>
    <row r="4" spans="1:38" x14ac:dyDescent="0.3">
      <c r="A4" s="2" t="s">
        <v>12</v>
      </c>
      <c r="B4" s="2">
        <v>6.74</v>
      </c>
      <c r="C4" s="2">
        <v>12.97</v>
      </c>
      <c r="D4" s="2">
        <f t="shared" ref="D4:D5" si="0">(C4-B4)/1000</f>
        <v>6.2300000000000003E-3</v>
      </c>
      <c r="E4" s="2">
        <f t="shared" ref="E4:E21" si="1">20/(100^2)</f>
        <v>2E-3</v>
      </c>
      <c r="F4" s="2">
        <f t="shared" ref="F4:F5" si="2">6.895*1.5</f>
        <v>10.342499999999999</v>
      </c>
      <c r="G4" s="2">
        <v>10</v>
      </c>
      <c r="H4" s="3">
        <f t="shared" ref="H4:H11" si="3">(D4/(E4*(G4/60)))</f>
        <v>18.690000000000001</v>
      </c>
      <c r="I4" s="3"/>
      <c r="J4" s="3"/>
      <c r="K4">
        <f t="shared" ref="K4:K11" si="4">H4/F4</f>
        <v>1.8071065989847719</v>
      </c>
      <c r="L4" s="3"/>
      <c r="M4" s="3"/>
      <c r="AB4" t="s">
        <v>39</v>
      </c>
      <c r="AC4" t="s">
        <v>40</v>
      </c>
      <c r="AD4" t="s">
        <v>9</v>
      </c>
      <c r="AE4" t="s">
        <v>39</v>
      </c>
      <c r="AF4" t="s">
        <v>40</v>
      </c>
      <c r="AG4" t="s">
        <v>9</v>
      </c>
      <c r="AH4" t="s">
        <v>39</v>
      </c>
      <c r="AI4" t="s">
        <v>40</v>
      </c>
      <c r="AJ4" t="s">
        <v>9</v>
      </c>
    </row>
    <row r="5" spans="1:38" x14ac:dyDescent="0.3">
      <c r="A5" s="2" t="s">
        <v>32</v>
      </c>
      <c r="B5" s="2">
        <v>6.69</v>
      </c>
      <c r="C5" s="2">
        <v>16.149999999999999</v>
      </c>
      <c r="D5" s="2">
        <f t="shared" si="0"/>
        <v>9.4599999999999979E-3</v>
      </c>
      <c r="E5" s="2">
        <f t="shared" si="1"/>
        <v>2E-3</v>
      </c>
      <c r="F5" s="2">
        <f t="shared" si="2"/>
        <v>10.342499999999999</v>
      </c>
      <c r="G5" s="2">
        <v>10</v>
      </c>
      <c r="H5" s="3">
        <f t="shared" si="3"/>
        <v>28.379999999999995</v>
      </c>
      <c r="I5" s="3"/>
      <c r="J5" s="3"/>
      <c r="K5">
        <f t="shared" si="4"/>
        <v>2.7440174039158807</v>
      </c>
      <c r="L5" s="3"/>
      <c r="M5" s="3"/>
      <c r="AB5">
        <v>3.47</v>
      </c>
      <c r="AC5" s="18">
        <f>W13</f>
        <v>51.116838487972508</v>
      </c>
      <c r="AD5" s="18">
        <f>X13</f>
        <v>4.2682769315313029</v>
      </c>
      <c r="AE5">
        <v>3.5</v>
      </c>
      <c r="AF5" s="18">
        <f>W16</f>
        <v>35.183044315992298</v>
      </c>
      <c r="AG5" s="18">
        <f>X16</f>
        <v>4.5328960682839901</v>
      </c>
      <c r="AH5">
        <v>3.5</v>
      </c>
      <c r="AI5" s="18">
        <f>W19</f>
        <v>34.005037783375322</v>
      </c>
      <c r="AJ5" s="18">
        <f>X19</f>
        <v>1.9658116710880789</v>
      </c>
      <c r="AK5">
        <v>3.53</v>
      </c>
      <c r="AL5" s="18">
        <v>32.936507936507944</v>
      </c>
    </row>
    <row r="6" spans="1:38" x14ac:dyDescent="0.3">
      <c r="A6" s="2" t="s">
        <v>13</v>
      </c>
      <c r="B6" s="2">
        <v>6.7</v>
      </c>
      <c r="C6" s="2">
        <v>14.56</v>
      </c>
      <c r="D6" s="2">
        <f>(C6-B6)/1000</f>
        <v>7.8600000000000007E-3</v>
      </c>
      <c r="E6" s="2">
        <f t="shared" si="1"/>
        <v>2E-3</v>
      </c>
      <c r="F6" s="2">
        <v>6.8949999999999996</v>
      </c>
      <c r="G6" s="2">
        <v>10</v>
      </c>
      <c r="H6" s="3">
        <f t="shared" si="3"/>
        <v>23.580000000000002</v>
      </c>
      <c r="I6" s="3">
        <f>AVERAGE(H6:H8)</f>
        <v>30.87</v>
      </c>
      <c r="J6" s="2">
        <f>_xlfn.STDEV.P(H6:H8)</f>
        <v>5.4601648326767664</v>
      </c>
      <c r="K6">
        <f>H6/F6</f>
        <v>3.4198694706308923</v>
      </c>
      <c r="L6" s="3">
        <f>AVERAGE(K6:K8)</f>
        <v>4.4771573604060917</v>
      </c>
      <c r="M6" s="2">
        <f>_xlfn.STDEV.P(K6:K8)</f>
        <v>0.79190207870583662</v>
      </c>
      <c r="AB6">
        <v>5.15</v>
      </c>
      <c r="AC6" s="18">
        <f>W23</f>
        <v>47.255880256593009</v>
      </c>
      <c r="AD6" s="18">
        <f>X23</f>
        <v>2.3191132034996316</v>
      </c>
      <c r="AE6">
        <v>5.18</v>
      </c>
      <c r="AF6" s="18">
        <f>W26</f>
        <v>26.796998420221161</v>
      </c>
      <c r="AG6" s="18">
        <f>X26</f>
        <v>3.9148364985098372</v>
      </c>
      <c r="AH6">
        <v>4.9000000000000004</v>
      </c>
      <c r="AI6" s="18">
        <f>W29</f>
        <v>17.503217503217499</v>
      </c>
      <c r="AJ6" s="18">
        <f>X29</f>
        <v>2.013104797365914</v>
      </c>
      <c r="AK6">
        <v>4.9400000000000004</v>
      </c>
      <c r="AL6" s="18">
        <v>15.87982832618026</v>
      </c>
    </row>
    <row r="7" spans="1:38" x14ac:dyDescent="0.3">
      <c r="A7" s="2" t="s">
        <v>14</v>
      </c>
      <c r="B7" s="2">
        <v>6.69</v>
      </c>
      <c r="C7" s="2">
        <v>18.93</v>
      </c>
      <c r="D7" s="2">
        <f t="shared" ref="D7:D11" si="5">(C7-B7)/1000</f>
        <v>1.2239999999999999E-2</v>
      </c>
      <c r="E7" s="2">
        <f t="shared" si="1"/>
        <v>2E-3</v>
      </c>
      <c r="F7" s="2">
        <v>6.8949999999999996</v>
      </c>
      <c r="G7" s="2">
        <v>10</v>
      </c>
      <c r="H7" s="3">
        <f>(D7/(E7*(G7/60)))</f>
        <v>36.72</v>
      </c>
      <c r="I7" s="3"/>
      <c r="J7" s="2"/>
      <c r="K7">
        <f t="shared" si="4"/>
        <v>5.3255982596084124</v>
      </c>
      <c r="L7" s="3"/>
      <c r="M7" s="2"/>
      <c r="AB7">
        <v>6.5</v>
      </c>
      <c r="AC7" s="18">
        <f>W33</f>
        <v>60.545872179435207</v>
      </c>
      <c r="AD7" s="18">
        <f>X33</f>
        <v>1.7122032717377078</v>
      </c>
      <c r="AE7">
        <v>6.78</v>
      </c>
      <c r="AF7" s="18">
        <f>W36</f>
        <v>48.951333740582378</v>
      </c>
      <c r="AG7" s="18">
        <f>X36</f>
        <v>5.5954890785754738</v>
      </c>
      <c r="AH7">
        <v>6.25</v>
      </c>
      <c r="AI7" s="18">
        <f>W39</f>
        <v>36.609336609336616</v>
      </c>
      <c r="AJ7" s="18">
        <f>X39</f>
        <v>5.2043619542398858</v>
      </c>
      <c r="AK7">
        <v>6.63</v>
      </c>
      <c r="AL7" s="18">
        <v>38.49372384937238</v>
      </c>
    </row>
    <row r="8" spans="1:38" x14ac:dyDescent="0.3">
      <c r="A8" s="2" t="s">
        <v>33</v>
      </c>
      <c r="B8" s="2">
        <v>6.71</v>
      </c>
      <c r="C8" s="2">
        <v>17.48</v>
      </c>
      <c r="D8" s="2">
        <f t="shared" si="5"/>
        <v>1.077E-2</v>
      </c>
      <c r="E8" s="2">
        <f t="shared" si="1"/>
        <v>2E-3</v>
      </c>
      <c r="F8" s="2">
        <v>6.8949999999999996</v>
      </c>
      <c r="G8" s="2">
        <v>10</v>
      </c>
      <c r="H8" s="3">
        <f>(D8/(E8*(G8/60)))</f>
        <v>32.31</v>
      </c>
      <c r="I8" s="3"/>
      <c r="J8" s="2"/>
      <c r="K8">
        <f t="shared" si="4"/>
        <v>4.6860043509789708</v>
      </c>
      <c r="L8" s="3"/>
      <c r="M8" s="2"/>
      <c r="AB8">
        <v>8.9</v>
      </c>
      <c r="AC8" s="18">
        <f>W43</f>
        <v>68.501895072810697</v>
      </c>
      <c r="AD8" s="18">
        <f>X43</f>
        <v>2.7386399045251202</v>
      </c>
      <c r="AE8">
        <v>8.89</v>
      </c>
      <c r="AF8" s="18">
        <f>W46</f>
        <v>65.731912507010648</v>
      </c>
      <c r="AG8" s="18">
        <f>X46</f>
        <v>5.0770834651993333</v>
      </c>
      <c r="AH8">
        <v>8.6</v>
      </c>
      <c r="AI8" s="18">
        <f>W49</f>
        <v>54.888221554888219</v>
      </c>
      <c r="AJ8" s="18">
        <f>X49</f>
        <v>2.7384081412941987</v>
      </c>
      <c r="AK8">
        <v>8.85</v>
      </c>
      <c r="AL8" s="18">
        <v>45.614035087719301</v>
      </c>
    </row>
    <row r="9" spans="1:38" x14ac:dyDescent="0.3">
      <c r="A9" s="2" t="s">
        <v>15</v>
      </c>
      <c r="B9" s="2">
        <v>6.69</v>
      </c>
      <c r="C9" s="2">
        <v>10.36</v>
      </c>
      <c r="D9" s="2">
        <f t="shared" si="5"/>
        <v>3.6699999999999992E-3</v>
      </c>
      <c r="E9" s="2">
        <f t="shared" si="1"/>
        <v>2E-3</v>
      </c>
      <c r="F9" s="2">
        <v>6.8949999999999996</v>
      </c>
      <c r="G9" s="2">
        <v>10</v>
      </c>
      <c r="H9" s="3">
        <f t="shared" si="3"/>
        <v>11.009999999999998</v>
      </c>
      <c r="I9" s="3">
        <f>AVERAGE(H9:H11)</f>
        <v>7.28</v>
      </c>
      <c r="J9" s="2">
        <f>_xlfn.STDEV.P(H9:H11)</f>
        <v>5.1482618426028033</v>
      </c>
      <c r="K9">
        <f>H9/F9</f>
        <v>1.5968092820884696</v>
      </c>
      <c r="L9" s="3">
        <f>AVERAGE(K9:K11)</f>
        <v>1.0558375634517767</v>
      </c>
      <c r="M9" s="2">
        <f>_xlfn.STDEV.P(K9:K11)</f>
        <v>0.74666596701998589</v>
      </c>
      <c r="AB9">
        <v>10</v>
      </c>
      <c r="AC9" s="18">
        <f>W53</f>
        <v>81.208309510196287</v>
      </c>
      <c r="AD9" s="18">
        <f>X53</f>
        <v>0.59112111375150889</v>
      </c>
      <c r="AE9">
        <v>9.9600000000000009</v>
      </c>
      <c r="AF9" s="18">
        <f>W56</f>
        <v>77.973568281938327</v>
      </c>
      <c r="AG9" s="18">
        <f>X56</f>
        <v>4.7885330842091731</v>
      </c>
      <c r="AH9">
        <v>9.9</v>
      </c>
      <c r="AI9" s="18">
        <f>W59</f>
        <v>72.13709013016971</v>
      </c>
      <c r="AJ9" s="18">
        <f>X59</f>
        <v>2.5277303156653721</v>
      </c>
      <c r="AK9">
        <v>9.98</v>
      </c>
      <c r="AL9" s="18">
        <v>84.449339207048467</v>
      </c>
    </row>
    <row r="10" spans="1:38" x14ac:dyDescent="0.3">
      <c r="A10" s="2" t="s">
        <v>16</v>
      </c>
      <c r="B10" s="2">
        <v>6.69</v>
      </c>
      <c r="C10" s="2">
        <v>10.3</v>
      </c>
      <c r="D10" s="2">
        <f t="shared" si="5"/>
        <v>3.6100000000000004E-3</v>
      </c>
      <c r="E10" s="2">
        <f t="shared" si="1"/>
        <v>2E-3</v>
      </c>
      <c r="F10" s="2">
        <v>6.8949999999999996</v>
      </c>
      <c r="G10" s="2">
        <v>10</v>
      </c>
      <c r="H10" s="3">
        <f t="shared" si="3"/>
        <v>10.830000000000002</v>
      </c>
      <c r="I10" s="3"/>
      <c r="J10" s="2"/>
      <c r="K10">
        <f t="shared" si="4"/>
        <v>1.5707034082668605</v>
      </c>
      <c r="AB10">
        <v>10.5</v>
      </c>
      <c r="AC10" s="18">
        <f>W63</f>
        <v>85.061254342658614</v>
      </c>
      <c r="AD10" s="18">
        <f>X63</f>
        <v>2.0428391191712305</v>
      </c>
      <c r="AE10">
        <v>10.5</v>
      </c>
      <c r="AF10" s="18">
        <f>W66</f>
        <v>81.960784313725483</v>
      </c>
      <c r="AG10" s="18">
        <f>X66</f>
        <v>5.4615894772677187</v>
      </c>
      <c r="AH10">
        <v>10.49</v>
      </c>
      <c r="AI10" s="18">
        <f>W69</f>
        <v>75.512195121951223</v>
      </c>
      <c r="AJ10" s="18">
        <f>X69</f>
        <v>3.6649266687897875</v>
      </c>
      <c r="AK10">
        <v>10.44</v>
      </c>
      <c r="AL10" s="18">
        <v>88.864628820960689</v>
      </c>
    </row>
    <row r="11" spans="1:38" x14ac:dyDescent="0.3">
      <c r="A11" s="2" t="s">
        <v>34</v>
      </c>
      <c r="B11" s="2"/>
      <c r="C11" s="2"/>
      <c r="D11" s="2">
        <f t="shared" si="5"/>
        <v>0</v>
      </c>
      <c r="E11" s="2">
        <f t="shared" si="1"/>
        <v>2E-3</v>
      </c>
      <c r="F11" s="2">
        <v>6.8949999999999996</v>
      </c>
      <c r="G11" s="2">
        <v>10</v>
      </c>
      <c r="H11" s="3">
        <f t="shared" si="3"/>
        <v>0</v>
      </c>
      <c r="I11" s="3"/>
      <c r="J11" s="2"/>
      <c r="K11">
        <f t="shared" si="4"/>
        <v>0</v>
      </c>
      <c r="N11" s="25" t="s">
        <v>0</v>
      </c>
      <c r="O11" s="25" t="s">
        <v>25</v>
      </c>
      <c r="P11" s="25" t="s">
        <v>26</v>
      </c>
      <c r="Q11" s="25" t="s">
        <v>27</v>
      </c>
      <c r="R11" s="25" t="s">
        <v>38</v>
      </c>
      <c r="S11" s="25" t="s">
        <v>72</v>
      </c>
      <c r="T11" s="25" t="s">
        <v>73</v>
      </c>
      <c r="U11" s="25" t="s">
        <v>74</v>
      </c>
      <c r="V11" s="25" t="s">
        <v>75</v>
      </c>
      <c r="W11" s="25" t="s">
        <v>28</v>
      </c>
      <c r="X11" s="25" t="s">
        <v>9</v>
      </c>
    </row>
    <row r="12" spans="1:38" x14ac:dyDescent="0.3">
      <c r="A12" t="s">
        <v>17</v>
      </c>
      <c r="N12" s="4" t="s">
        <v>17</v>
      </c>
      <c r="O12" s="4"/>
      <c r="P12" s="4"/>
      <c r="Q12" s="5" t="e">
        <f t="shared" ref="Q12:Q13" si="6">(O12-P12)*100/O12</f>
        <v>#DIV/0!</v>
      </c>
      <c r="R12" s="4"/>
      <c r="S12" s="4"/>
      <c r="T12" s="4"/>
      <c r="U12" s="4"/>
      <c r="V12" s="4"/>
      <c r="W12" s="4"/>
      <c r="X12" s="4"/>
    </row>
    <row r="13" spans="1:38" x14ac:dyDescent="0.3">
      <c r="A13" t="s">
        <v>11</v>
      </c>
      <c r="B13" s="2">
        <v>6.68</v>
      </c>
      <c r="C13" s="2">
        <v>11.28</v>
      </c>
      <c r="D13" s="2">
        <f>(C13-B13)/1000</f>
        <v>4.5999999999999999E-3</v>
      </c>
      <c r="E13" s="2">
        <f>20/(100^2)</f>
        <v>2E-3</v>
      </c>
      <c r="F13" s="2">
        <f>6.895*1.5</f>
        <v>10.342499999999999</v>
      </c>
      <c r="G13" s="2">
        <v>10</v>
      </c>
      <c r="H13" s="3">
        <f>(D13/(E13*(G13/60)))</f>
        <v>13.8</v>
      </c>
      <c r="I13" s="3">
        <f>AVERAGE(H13:H15)</f>
        <v>20.599999999999998</v>
      </c>
      <c r="J13" s="2">
        <f>_xlfn.STDEV.P(H13:H15)</f>
        <v>6.3608175575156958</v>
      </c>
      <c r="K13">
        <f>H13/F13</f>
        <v>1.3343002175489487</v>
      </c>
      <c r="L13" s="3">
        <f>AVERAGE(K13:K15)</f>
        <v>1.9917814841672712</v>
      </c>
      <c r="M13" s="2">
        <f>_xlfn.STDEV.P(K13:K15)</f>
        <v>0.61501740947698258</v>
      </c>
      <c r="N13" s="4" t="s">
        <v>11</v>
      </c>
      <c r="O13" s="4">
        <v>15.52</v>
      </c>
      <c r="P13" s="4">
        <v>6.75</v>
      </c>
      <c r="Q13" s="5">
        <f t="shared" si="6"/>
        <v>56.507731958762889</v>
      </c>
      <c r="R13" s="37">
        <f>((100-Q13)/100)*0.002*10</f>
        <v>8.698453608247423E-3</v>
      </c>
      <c r="S13" s="37">
        <f>AVERAGE(R13:R15)</f>
        <v>9.7766323024054986E-3</v>
      </c>
      <c r="T13" s="5"/>
      <c r="U13" s="5"/>
      <c r="V13" s="5"/>
      <c r="W13" s="5">
        <f>AVERAGE(Q13:Q15)</f>
        <v>51.116838487972508</v>
      </c>
      <c r="X13" s="5">
        <f>_xlfn.STDEV.P(Q13:Q15)</f>
        <v>4.2682769315313029</v>
      </c>
      <c r="AB13" s="50" t="s">
        <v>76</v>
      </c>
      <c r="AC13" s="50"/>
      <c r="AD13" s="50"/>
      <c r="AE13" s="50"/>
      <c r="AF13" s="50"/>
      <c r="AG13" s="50"/>
      <c r="AH13" s="50"/>
      <c r="AI13" s="50"/>
      <c r="AJ13" s="50"/>
      <c r="AK13" s="50"/>
      <c r="AL13" s="50"/>
    </row>
    <row r="14" spans="1:38" x14ac:dyDescent="0.3">
      <c r="A14" t="s">
        <v>12</v>
      </c>
      <c r="B14" s="2">
        <v>6.65</v>
      </c>
      <c r="C14" s="2">
        <v>12.95</v>
      </c>
      <c r="D14" s="2">
        <f t="shared" ref="D14:D15" si="7">(C14-B14)/1000</f>
        <v>6.2999999999999992E-3</v>
      </c>
      <c r="E14" s="2">
        <f t="shared" si="1"/>
        <v>2E-3</v>
      </c>
      <c r="F14" s="2">
        <f t="shared" ref="F14:F15" si="8">6.895*1.5</f>
        <v>10.342499999999999</v>
      </c>
      <c r="G14" s="2">
        <v>10</v>
      </c>
      <c r="H14" s="3">
        <f t="shared" ref="H14:H16" si="9">(D14/(E14*(G14/60)))</f>
        <v>18.899999999999999</v>
      </c>
      <c r="I14" s="3"/>
      <c r="J14" s="3"/>
      <c r="K14">
        <f t="shared" ref="K14:K21" si="10">H14/F14</f>
        <v>1.8274111675126903</v>
      </c>
      <c r="L14" s="3"/>
      <c r="M14" s="3"/>
      <c r="N14" s="4" t="s">
        <v>12</v>
      </c>
      <c r="O14" s="4">
        <v>15.52</v>
      </c>
      <c r="P14" s="4">
        <v>7.64</v>
      </c>
      <c r="Q14" s="5">
        <f>(O14-P14)*100/O14</f>
        <v>50.773195876288661</v>
      </c>
      <c r="R14" s="37">
        <f t="shared" ref="R14:R15" si="11">((100-Q14)/100)*0.002*10</f>
        <v>9.8453608247422667E-3</v>
      </c>
      <c r="S14" s="37"/>
      <c r="T14" s="5"/>
      <c r="U14" s="5"/>
      <c r="V14" s="5"/>
      <c r="W14" s="5"/>
      <c r="X14" s="5"/>
      <c r="AB14" s="50" t="s">
        <v>29</v>
      </c>
      <c r="AC14" s="50"/>
      <c r="AD14" s="50"/>
      <c r="AE14" s="50" t="s">
        <v>30</v>
      </c>
      <c r="AF14" s="50"/>
      <c r="AG14" s="50"/>
      <c r="AH14" s="50" t="s">
        <v>31</v>
      </c>
      <c r="AI14" s="50"/>
      <c r="AJ14" s="50"/>
    </row>
    <row r="15" spans="1:38" x14ac:dyDescent="0.3">
      <c r="A15" t="s">
        <v>32</v>
      </c>
      <c r="B15" s="2">
        <v>6.66</v>
      </c>
      <c r="C15" s="2">
        <v>16.36</v>
      </c>
      <c r="D15" s="2">
        <f t="shared" si="7"/>
        <v>9.6999999999999986E-3</v>
      </c>
      <c r="E15" s="2">
        <f t="shared" si="1"/>
        <v>2E-3</v>
      </c>
      <c r="F15" s="2">
        <f t="shared" si="8"/>
        <v>10.342499999999999</v>
      </c>
      <c r="G15" s="2">
        <v>10</v>
      </c>
      <c r="H15" s="3">
        <f t="shared" si="9"/>
        <v>29.099999999999998</v>
      </c>
      <c r="I15" s="3"/>
      <c r="J15" s="3"/>
      <c r="K15">
        <f t="shared" si="10"/>
        <v>2.8136330674401742</v>
      </c>
      <c r="L15" s="3"/>
      <c r="M15" s="3"/>
      <c r="N15" s="4" t="s">
        <v>32</v>
      </c>
      <c r="O15" s="4">
        <v>15.52</v>
      </c>
      <c r="P15" s="4">
        <v>8.3699999999999992</v>
      </c>
      <c r="Q15" s="5">
        <f t="shared" ref="Q15:Q21" si="12">(O15-P15)*100/O15</f>
        <v>46.069587628865982</v>
      </c>
      <c r="R15" s="37">
        <f t="shared" si="11"/>
        <v>1.0786082474226804E-2</v>
      </c>
      <c r="S15" s="37"/>
      <c r="T15" s="5"/>
      <c r="U15" s="5"/>
      <c r="V15" s="5"/>
      <c r="W15" s="5"/>
      <c r="X15" s="5"/>
      <c r="AB15" t="s">
        <v>39</v>
      </c>
      <c r="AC15" t="s">
        <v>40</v>
      </c>
      <c r="AD15" t="s">
        <v>9</v>
      </c>
      <c r="AE15" t="s">
        <v>39</v>
      </c>
      <c r="AF15" t="s">
        <v>40</v>
      </c>
      <c r="AG15" t="s">
        <v>9</v>
      </c>
      <c r="AH15" t="s">
        <v>39</v>
      </c>
      <c r="AI15" t="s">
        <v>40</v>
      </c>
      <c r="AJ15" t="s">
        <v>9</v>
      </c>
    </row>
    <row r="16" spans="1:38" x14ac:dyDescent="0.3">
      <c r="A16" t="s">
        <v>13</v>
      </c>
      <c r="B16" s="2">
        <v>6.68</v>
      </c>
      <c r="C16" s="2">
        <v>12.75</v>
      </c>
      <c r="D16" s="2">
        <f>(C16-B16)/1000</f>
        <v>6.0699999999999999E-3</v>
      </c>
      <c r="E16" s="2">
        <f t="shared" si="1"/>
        <v>2E-3</v>
      </c>
      <c r="F16" s="2">
        <v>6.8949999999999996</v>
      </c>
      <c r="G16" s="2">
        <v>10</v>
      </c>
      <c r="H16" s="3">
        <f t="shared" si="9"/>
        <v>18.21</v>
      </c>
      <c r="I16" s="3">
        <f>AVERAGE(H16:H18)</f>
        <v>23.94</v>
      </c>
      <c r="J16" s="2">
        <f>_xlfn.STDEV.P(H16:H18)</f>
        <v>4.243559826372195</v>
      </c>
      <c r="K16">
        <f>H16/F16</f>
        <v>2.6410442349528647</v>
      </c>
      <c r="L16" s="3">
        <f>AVERAGE(K16:K18)</f>
        <v>3.4720812182741128</v>
      </c>
      <c r="M16" s="2">
        <f>_xlfn.STDEV.P(K16:K18)</f>
        <v>0.61545465212069361</v>
      </c>
      <c r="N16" s="4" t="s">
        <v>13</v>
      </c>
      <c r="O16" s="4">
        <v>17.3</v>
      </c>
      <c r="P16" s="4">
        <v>10.27</v>
      </c>
      <c r="Q16" s="5">
        <f t="shared" si="12"/>
        <v>40.635838150289025</v>
      </c>
      <c r="R16" s="37">
        <f>((100-Q16)/100)*0.002*10</f>
        <v>1.1872832369942195E-2</v>
      </c>
      <c r="S16" s="37">
        <f>AVERAGE(R16:R18)</f>
        <v>1.296339113680154E-2</v>
      </c>
      <c r="T16" s="5"/>
      <c r="U16" s="5"/>
      <c r="V16" s="5"/>
      <c r="W16" s="5">
        <f>AVERAGE(Q16:Q18)</f>
        <v>35.183044315992298</v>
      </c>
      <c r="X16" s="5">
        <f>_xlfn.STDEV.P(Q16:Q18)</f>
        <v>4.5328960682839901</v>
      </c>
      <c r="AB16">
        <v>6.5</v>
      </c>
      <c r="AC16" s="18">
        <f>U33</f>
        <v>0.74802893692232963</v>
      </c>
      <c r="AD16" s="18">
        <f>V33</f>
        <v>3.2462448516864958E-2</v>
      </c>
      <c r="AE16">
        <v>6.78</v>
      </c>
      <c r="AF16" s="18">
        <f>U36</f>
        <v>0.69735755580709691</v>
      </c>
      <c r="AG16" s="18">
        <f>V36</f>
        <v>7.6437973277331067E-2</v>
      </c>
      <c r="AH16">
        <v>6.25</v>
      </c>
      <c r="AI16" s="18">
        <f>U39</f>
        <v>0.76840164515671538</v>
      </c>
      <c r="AJ16" s="18">
        <f>V39</f>
        <v>6.3085635545154339E-2</v>
      </c>
      <c r="AL16" s="18"/>
    </row>
    <row r="17" spans="1:38" x14ac:dyDescent="0.3">
      <c r="A17" t="s">
        <v>14</v>
      </c>
      <c r="B17" s="2">
        <v>6.67</v>
      </c>
      <c r="C17" s="2">
        <v>16.12</v>
      </c>
      <c r="D17" s="2">
        <f t="shared" ref="D17:D21" si="13">(C17-B17)/1000</f>
        <v>9.4500000000000018E-3</v>
      </c>
      <c r="E17" s="2">
        <f t="shared" si="1"/>
        <v>2E-3</v>
      </c>
      <c r="F17" s="2">
        <v>6.8949999999999996</v>
      </c>
      <c r="G17" s="2">
        <v>10</v>
      </c>
      <c r="H17" s="3">
        <f>(D17/(E17*(G17/60)))</f>
        <v>28.350000000000005</v>
      </c>
      <c r="I17" s="3"/>
      <c r="J17" s="2"/>
      <c r="K17">
        <f t="shared" si="10"/>
        <v>4.1116751269035543</v>
      </c>
      <c r="L17" s="3"/>
      <c r="M17" s="2"/>
      <c r="N17" s="4" t="s">
        <v>14</v>
      </c>
      <c r="O17" s="4">
        <v>17.3</v>
      </c>
      <c r="P17" s="4">
        <v>12.19</v>
      </c>
      <c r="Q17" s="5">
        <f t="shared" si="12"/>
        <v>29.537572254335267</v>
      </c>
      <c r="R17" s="37">
        <f t="shared" ref="R17:R18" si="14">((100-Q17)/100)*0.002*10</f>
        <v>1.4092485549132946E-2</v>
      </c>
      <c r="S17" s="37"/>
      <c r="T17" s="5"/>
      <c r="U17" s="5"/>
      <c r="V17" s="5"/>
      <c r="W17" s="4"/>
      <c r="X17" s="4"/>
      <c r="AB17">
        <v>8.9</v>
      </c>
      <c r="AC17" s="18">
        <f>U43</f>
        <v>0.7983475156374249</v>
      </c>
      <c r="AD17" s="18">
        <f>V43</f>
        <v>6.9413266895172673E-2</v>
      </c>
      <c r="AE17">
        <v>8.89</v>
      </c>
      <c r="AF17" s="18">
        <f>U46</f>
        <v>0.6712827190988061</v>
      </c>
      <c r="AG17" s="18">
        <f>V46</f>
        <v>9.9455751486214702E-2</v>
      </c>
      <c r="AH17">
        <v>8.6</v>
      </c>
      <c r="AI17" s="18">
        <f>U49</f>
        <v>0.71164704756436026</v>
      </c>
      <c r="AJ17" s="18">
        <f>V49</f>
        <v>4.319891912816818E-2</v>
      </c>
      <c r="AL17" s="18"/>
    </row>
    <row r="18" spans="1:38" x14ac:dyDescent="0.3">
      <c r="A18" t="s">
        <v>33</v>
      </c>
      <c r="B18" s="2">
        <v>6.68</v>
      </c>
      <c r="C18" s="2">
        <v>15.1</v>
      </c>
      <c r="D18" s="2">
        <f t="shared" si="13"/>
        <v>8.4200000000000004E-3</v>
      </c>
      <c r="E18" s="2">
        <f t="shared" si="1"/>
        <v>2E-3</v>
      </c>
      <c r="F18" s="2">
        <v>6.8949999999999996</v>
      </c>
      <c r="G18" s="2">
        <v>10</v>
      </c>
      <c r="H18" s="3">
        <f>(D18/(E18*(G18/60)))</f>
        <v>25.26</v>
      </c>
      <c r="I18" s="3"/>
      <c r="J18" s="2"/>
      <c r="K18">
        <f t="shared" si="10"/>
        <v>3.663524292965918</v>
      </c>
      <c r="L18" s="3"/>
      <c r="M18" s="2"/>
      <c r="N18" s="4" t="s">
        <v>33</v>
      </c>
      <c r="O18" s="4">
        <v>17.3</v>
      </c>
      <c r="P18" s="4">
        <v>11.18</v>
      </c>
      <c r="Q18" s="5">
        <f t="shared" si="12"/>
        <v>35.375722543352609</v>
      </c>
      <c r="R18" s="37">
        <f t="shared" si="14"/>
        <v>1.292485549132948E-2</v>
      </c>
      <c r="S18" s="37"/>
      <c r="T18" s="5"/>
      <c r="U18" s="5"/>
      <c r="V18" s="5"/>
      <c r="W18" s="4"/>
      <c r="X18" s="4"/>
      <c r="AB18">
        <v>10</v>
      </c>
      <c r="AC18" s="18">
        <f>U53</f>
        <v>0.47629212779122332</v>
      </c>
      <c r="AD18" s="18">
        <f>V53</f>
        <v>1.498249096874972E-2</v>
      </c>
      <c r="AE18">
        <v>9.9600000000000009</v>
      </c>
      <c r="AF18" s="18">
        <f>U56</f>
        <v>0.43147908323654133</v>
      </c>
      <c r="AG18" s="18">
        <f>V56</f>
        <v>9.3803294681097854E-2</v>
      </c>
      <c r="AH18">
        <v>9.9</v>
      </c>
      <c r="AI18" s="18">
        <f>U59</f>
        <v>0.43954280298530723</v>
      </c>
      <c r="AJ18" s="18">
        <f>V59</f>
        <v>3.9875435599837451E-2</v>
      </c>
      <c r="AL18" s="18"/>
    </row>
    <row r="19" spans="1:38" x14ac:dyDescent="0.3">
      <c r="A19" t="s">
        <v>15</v>
      </c>
      <c r="B19" s="2">
        <v>6.69</v>
      </c>
      <c r="C19" s="2">
        <v>11.89</v>
      </c>
      <c r="D19" s="2">
        <f t="shared" si="13"/>
        <v>5.1999999999999998E-3</v>
      </c>
      <c r="E19" s="2">
        <f t="shared" si="1"/>
        <v>2E-3</v>
      </c>
      <c r="F19" s="2">
        <v>6.8949999999999996</v>
      </c>
      <c r="G19" s="2">
        <v>10</v>
      </c>
      <c r="H19" s="3">
        <f t="shared" ref="H19:H21" si="15">(D19/(E19*(G19/60)))</f>
        <v>15.6</v>
      </c>
      <c r="I19" s="3">
        <f>AVERAGE(H19:H21)</f>
        <v>10.590000000000002</v>
      </c>
      <c r="J19" s="2">
        <f>_xlfn.STDEV.P(H19:H21)</f>
        <v>7.4918755996078863</v>
      </c>
      <c r="K19">
        <f>H19/F19</f>
        <v>2.2625090645395214</v>
      </c>
      <c r="L19" s="3">
        <f>AVERAGE(K19:K21)</f>
        <v>1.5358955765047135</v>
      </c>
      <c r="M19" s="2">
        <f>_xlfn.STDEV.P(K19:K21)</f>
        <v>1.0865664393920067</v>
      </c>
      <c r="N19" s="4" t="s">
        <v>15</v>
      </c>
      <c r="O19" s="4">
        <v>19.850000000000001</v>
      </c>
      <c r="P19" s="4">
        <v>12.68</v>
      </c>
      <c r="Q19" s="5">
        <f t="shared" si="12"/>
        <v>36.120906801007564</v>
      </c>
      <c r="R19" s="37">
        <f>((100-Q19)/100)*0.002*10</f>
        <v>1.2775818639798486E-2</v>
      </c>
      <c r="S19" s="37">
        <f>AVERAGE(R19:R21)</f>
        <v>1.3198992443324937E-2</v>
      </c>
      <c r="T19" s="5"/>
      <c r="U19" s="5"/>
      <c r="V19" s="5"/>
      <c r="W19" s="5">
        <f>AVERAGE(Q19:Q21)</f>
        <v>34.005037783375322</v>
      </c>
      <c r="X19" s="5">
        <f>_xlfn.STDEV.P(Q19:Q21)</f>
        <v>1.9658116710880789</v>
      </c>
      <c r="AB19">
        <v>10.5</v>
      </c>
      <c r="AC19" s="18">
        <f>U63</f>
        <v>0.37863581030816285</v>
      </c>
      <c r="AD19" s="18">
        <f>V63</f>
        <v>5.1777576441734155E-2</v>
      </c>
      <c r="AE19">
        <v>10.5</v>
      </c>
      <c r="AF19" s="18">
        <f>U66</f>
        <v>0.3533729087965462</v>
      </c>
      <c r="AG19" s="18">
        <f>V66</f>
        <v>0.10698789757822819</v>
      </c>
      <c r="AH19">
        <v>10.49</v>
      </c>
      <c r="AI19" s="18">
        <f>U69</f>
        <v>0.38629986764983931</v>
      </c>
      <c r="AJ19" s="18">
        <f>V69</f>
        <v>5.7814928457265102E-2</v>
      </c>
      <c r="AL19" s="18"/>
    </row>
    <row r="20" spans="1:38" x14ac:dyDescent="0.3">
      <c r="A20" t="s">
        <v>16</v>
      </c>
      <c r="B20" s="2">
        <v>6.68</v>
      </c>
      <c r="C20" s="2">
        <v>12.07</v>
      </c>
      <c r="D20" s="2">
        <f t="shared" si="13"/>
        <v>5.3900000000000007E-3</v>
      </c>
      <c r="E20" s="2">
        <f t="shared" si="1"/>
        <v>2E-3</v>
      </c>
      <c r="F20" s="2">
        <v>6.8949999999999996</v>
      </c>
      <c r="G20" s="2">
        <v>10</v>
      </c>
      <c r="H20" s="3">
        <f t="shared" si="15"/>
        <v>16.170000000000002</v>
      </c>
      <c r="I20" s="3"/>
      <c r="J20" s="2"/>
      <c r="K20">
        <f t="shared" si="10"/>
        <v>2.3451776649746199</v>
      </c>
      <c r="N20" s="4" t="s">
        <v>16</v>
      </c>
      <c r="O20" s="4">
        <v>19.850000000000001</v>
      </c>
      <c r="P20" s="4">
        <v>13.62</v>
      </c>
      <c r="Q20" s="5">
        <f t="shared" si="12"/>
        <v>31.385390428211597</v>
      </c>
      <c r="R20" s="37">
        <f t="shared" ref="R20:R21" si="16">((100-Q20)/100)*0.002*10</f>
        <v>1.3722921914357682E-2</v>
      </c>
      <c r="S20" s="37"/>
      <c r="T20" s="5"/>
      <c r="U20" s="5"/>
      <c r="V20" s="5"/>
      <c r="W20" s="4"/>
      <c r="X20" s="4"/>
    </row>
    <row r="21" spans="1:38" x14ac:dyDescent="0.3">
      <c r="A21" t="s">
        <v>34</v>
      </c>
      <c r="B21" s="2"/>
      <c r="C21" s="2"/>
      <c r="D21" s="2">
        <f t="shared" si="13"/>
        <v>0</v>
      </c>
      <c r="E21" s="2">
        <f t="shared" si="1"/>
        <v>2E-3</v>
      </c>
      <c r="F21" s="2">
        <v>6.8949999999999996</v>
      </c>
      <c r="G21" s="2">
        <v>10</v>
      </c>
      <c r="H21" s="3">
        <f t="shared" si="15"/>
        <v>0</v>
      </c>
      <c r="I21" s="3"/>
      <c r="J21" s="2"/>
      <c r="K21">
        <f t="shared" si="10"/>
        <v>0</v>
      </c>
      <c r="N21" s="4" t="s">
        <v>34</v>
      </c>
      <c r="O21" s="4">
        <v>19.850000000000001</v>
      </c>
      <c r="P21" s="4">
        <v>13</v>
      </c>
      <c r="Q21" s="5">
        <f t="shared" si="12"/>
        <v>34.508816120906808</v>
      </c>
      <c r="R21" s="37">
        <f t="shared" si="16"/>
        <v>1.3098236775818639E-2</v>
      </c>
      <c r="S21" s="37"/>
      <c r="T21" s="5"/>
      <c r="U21" s="5"/>
      <c r="V21" s="5"/>
      <c r="W21" s="4"/>
      <c r="X21" s="4"/>
    </row>
    <row r="22" spans="1:38" x14ac:dyDescent="0.3">
      <c r="A22" t="s">
        <v>19</v>
      </c>
      <c r="N22" s="6" t="s">
        <v>19</v>
      </c>
      <c r="O22" s="6"/>
      <c r="P22" s="6">
        <v>0</v>
      </c>
      <c r="Q22" s="7" t="e">
        <f>(O22-P22)*100/O22</f>
        <v>#DIV/0!</v>
      </c>
      <c r="R22" s="7"/>
      <c r="S22" s="7"/>
      <c r="T22" s="7"/>
      <c r="U22" s="7"/>
      <c r="V22" s="7"/>
      <c r="W22" s="6"/>
      <c r="X22" s="6"/>
    </row>
    <row r="23" spans="1:38" x14ac:dyDescent="0.3">
      <c r="A23" t="s">
        <v>11</v>
      </c>
      <c r="B23" s="2">
        <v>6.63</v>
      </c>
      <c r="C23" s="2">
        <v>11.14</v>
      </c>
      <c r="D23" s="2">
        <f>(C23-B23)/1000</f>
        <v>4.510000000000001E-3</v>
      </c>
      <c r="E23" s="2">
        <f>20/(100^2)</f>
        <v>2E-3</v>
      </c>
      <c r="F23" s="2">
        <f>6.895*1.5</f>
        <v>10.342499999999999</v>
      </c>
      <c r="G23" s="2">
        <v>10</v>
      </c>
      <c r="H23" s="3">
        <f>(D23/(E23*(G23/60)))</f>
        <v>13.530000000000003</v>
      </c>
      <c r="I23" s="3">
        <f>AVERAGE(H23:H25)</f>
        <v>20.080000000000002</v>
      </c>
      <c r="J23" s="2">
        <f>_xlfn.STDEV.P(H23:H25)</f>
        <v>6.1069632387955242</v>
      </c>
      <c r="K23">
        <f>H23/F23</f>
        <v>1.3081943437273391</v>
      </c>
      <c r="L23" s="3">
        <f>AVERAGE(K23:K25)</f>
        <v>1.941503504955282</v>
      </c>
      <c r="M23" s="2">
        <f>_xlfn.STDEV.P(K23:K25)</f>
        <v>0.59047263609335521</v>
      </c>
      <c r="N23" s="6" t="s">
        <v>11</v>
      </c>
      <c r="O23" s="6">
        <v>14.03</v>
      </c>
      <c r="P23" s="6">
        <v>7.16</v>
      </c>
      <c r="Q23" s="7">
        <f t="shared" ref="Q23:Q31" si="17">(O23-P23)*100/O23</f>
        <v>48.966500356379179</v>
      </c>
      <c r="R23" s="42">
        <f>((100-Q23)/100)*0.002*10</f>
        <v>1.0206699928724163E-2</v>
      </c>
      <c r="S23" s="42">
        <f>AVERAGE(R23:R25)</f>
        <v>1.0548823948681398E-2</v>
      </c>
      <c r="T23" s="7"/>
      <c r="U23" s="7"/>
      <c r="V23" s="7"/>
      <c r="W23" s="7">
        <f>AVERAGE(Q23:Q25)</f>
        <v>47.255880256593009</v>
      </c>
      <c r="X23" s="7">
        <f>_xlfn.STDEV.P(Q23:Q25)</f>
        <v>2.3191132034996316</v>
      </c>
    </row>
    <row r="24" spans="1:38" x14ac:dyDescent="0.3">
      <c r="A24" t="s">
        <v>12</v>
      </c>
      <c r="B24" s="2">
        <v>6.71</v>
      </c>
      <c r="C24" s="2">
        <v>12.87</v>
      </c>
      <c r="D24" s="2">
        <f t="shared" ref="D24:D25" si="18">(C24-B24)/1000</f>
        <v>6.1599999999999997E-3</v>
      </c>
      <c r="E24" s="2">
        <f t="shared" ref="E24:E31" si="19">20/(100^2)</f>
        <v>2E-3</v>
      </c>
      <c r="F24" s="2">
        <f t="shared" ref="F24:F25" si="20">6.895*1.5</f>
        <v>10.342499999999999</v>
      </c>
      <c r="G24" s="2">
        <v>10</v>
      </c>
      <c r="H24" s="3">
        <f t="shared" ref="H24:H26" si="21">(D24/(E24*(G24/60)))</f>
        <v>18.48</v>
      </c>
      <c r="I24" s="3"/>
      <c r="J24" s="3"/>
      <c r="K24">
        <f t="shared" ref="K24:K31" si="22">H24/F24</f>
        <v>1.786802030456853</v>
      </c>
      <c r="L24" s="3"/>
      <c r="M24" s="3"/>
      <c r="N24" s="6" t="s">
        <v>12</v>
      </c>
      <c r="O24" s="6">
        <v>14.03</v>
      </c>
      <c r="P24" s="6">
        <v>7.18</v>
      </c>
      <c r="Q24" s="7">
        <f t="shared" si="17"/>
        <v>48.823948681397006</v>
      </c>
      <c r="R24" s="42">
        <f t="shared" ref="R24:R25" si="23">((100-Q24)/100)*0.002*10</f>
        <v>1.0235210263720599E-2</v>
      </c>
      <c r="S24" s="42"/>
      <c r="T24" s="7"/>
      <c r="U24" s="7"/>
      <c r="V24" s="7"/>
      <c r="W24" s="7"/>
      <c r="X24" s="7"/>
    </row>
    <row r="25" spans="1:38" x14ac:dyDescent="0.3">
      <c r="A25" t="s">
        <v>32</v>
      </c>
      <c r="B25" s="2">
        <v>6.67</v>
      </c>
      <c r="C25" s="2">
        <v>16.079999999999998</v>
      </c>
      <c r="D25" s="2">
        <f t="shared" si="18"/>
        <v>9.4099999999999982E-3</v>
      </c>
      <c r="E25" s="2">
        <f t="shared" si="19"/>
        <v>2E-3</v>
      </c>
      <c r="F25" s="2">
        <f t="shared" si="20"/>
        <v>10.342499999999999</v>
      </c>
      <c r="G25" s="2">
        <v>10</v>
      </c>
      <c r="H25" s="3">
        <f t="shared" si="21"/>
        <v>28.229999999999997</v>
      </c>
      <c r="I25" s="3"/>
      <c r="J25" s="3"/>
      <c r="K25">
        <f t="shared" si="22"/>
        <v>2.7295141406816534</v>
      </c>
      <c r="L25" s="3"/>
      <c r="M25" s="3"/>
      <c r="N25" s="6" t="s">
        <v>32</v>
      </c>
      <c r="O25" s="6">
        <v>14.03</v>
      </c>
      <c r="P25" s="6">
        <v>7.86</v>
      </c>
      <c r="Q25" s="7">
        <f t="shared" si="17"/>
        <v>43.977191732002844</v>
      </c>
      <c r="R25" s="42">
        <f t="shared" si="23"/>
        <v>1.1204561653599432E-2</v>
      </c>
      <c r="S25" s="42"/>
      <c r="T25" s="7"/>
      <c r="U25" s="7"/>
      <c r="V25" s="7"/>
      <c r="W25" s="7"/>
      <c r="X25" s="7"/>
    </row>
    <row r="26" spans="1:38" x14ac:dyDescent="0.3">
      <c r="A26" t="s">
        <v>13</v>
      </c>
      <c r="B26" s="2">
        <v>6.67</v>
      </c>
      <c r="C26" s="2">
        <v>12.74</v>
      </c>
      <c r="D26" s="2">
        <f>(C26-B26)/1000</f>
        <v>6.0699999999999999E-3</v>
      </c>
      <c r="E26" s="2">
        <f t="shared" si="19"/>
        <v>2E-3</v>
      </c>
      <c r="F26" s="2">
        <v>6.8949999999999996</v>
      </c>
      <c r="G26" s="2">
        <v>10</v>
      </c>
      <c r="H26" s="3">
        <f t="shared" si="21"/>
        <v>18.21</v>
      </c>
      <c r="I26" s="3">
        <f>AVERAGE(H26:H28)</f>
        <v>23.88</v>
      </c>
      <c r="J26" s="2">
        <f>_xlfn.STDEV.P(H26:H28)</f>
        <v>4.2257070414310514</v>
      </c>
      <c r="K26">
        <f>H26/F26</f>
        <v>2.6410442349528647</v>
      </c>
      <c r="L26" s="3">
        <f>AVERAGE(K26:K28)</f>
        <v>3.4633792603335749</v>
      </c>
      <c r="M26" s="2">
        <f>_xlfn.STDEV.P(K26:K28)</f>
        <v>0.61286541572604236</v>
      </c>
      <c r="N26" s="6" t="s">
        <v>13</v>
      </c>
      <c r="O26" s="6">
        <v>16.88</v>
      </c>
      <c r="P26" s="6">
        <v>11.6</v>
      </c>
      <c r="Q26" s="7">
        <f t="shared" si="17"/>
        <v>31.279620853080562</v>
      </c>
      <c r="R26" s="42">
        <f>((100-Q26)/100)*0.002*10</f>
        <v>1.3744075829383888E-2</v>
      </c>
      <c r="S26" s="42">
        <f>AVERAGE(R26:R28)</f>
        <v>1.4640600315955767E-2</v>
      </c>
      <c r="T26" s="7"/>
      <c r="U26" s="7"/>
      <c r="V26" s="7"/>
      <c r="W26" s="7">
        <f>AVERAGE(Q26:Q28)</f>
        <v>26.796998420221161</v>
      </c>
      <c r="X26" s="7">
        <f>_xlfn.STDEV.P(Q26:Q28)</f>
        <v>3.9148364985098372</v>
      </c>
    </row>
    <row r="27" spans="1:38" x14ac:dyDescent="0.3">
      <c r="A27" t="s">
        <v>14</v>
      </c>
      <c r="B27" s="2">
        <v>6.64</v>
      </c>
      <c r="C27" s="2">
        <v>16.09</v>
      </c>
      <c r="D27" s="2">
        <f t="shared" ref="D27:D31" si="24">(C27-B27)/1000</f>
        <v>9.4500000000000001E-3</v>
      </c>
      <c r="E27" s="2">
        <f t="shared" si="19"/>
        <v>2E-3</v>
      </c>
      <c r="F27" s="2">
        <v>6.8949999999999996</v>
      </c>
      <c r="G27" s="2">
        <v>10</v>
      </c>
      <c r="H27" s="3">
        <f>(D27/(E27*(G27/60)))</f>
        <v>28.35</v>
      </c>
      <c r="I27" s="3"/>
      <c r="J27" s="2"/>
      <c r="K27">
        <f t="shared" si="22"/>
        <v>4.1116751269035534</v>
      </c>
      <c r="L27" s="3"/>
      <c r="M27" s="2"/>
      <c r="N27" s="6" t="s">
        <v>14</v>
      </c>
      <c r="O27" s="6">
        <v>16.88</v>
      </c>
      <c r="P27" s="6">
        <v>13.21</v>
      </c>
      <c r="Q27" s="7">
        <f t="shared" si="17"/>
        <v>21.741706161137433</v>
      </c>
      <c r="R27" s="42">
        <f t="shared" ref="R27:R28" si="25">((100-Q27)/100)*0.002*10</f>
        <v>1.5651658767772515E-2</v>
      </c>
      <c r="S27" s="42"/>
      <c r="T27" s="7"/>
      <c r="U27" s="7"/>
      <c r="V27" s="7"/>
      <c r="W27" s="6"/>
      <c r="X27" s="6"/>
    </row>
    <row r="28" spans="1:38" x14ac:dyDescent="0.3">
      <c r="A28" t="s">
        <v>33</v>
      </c>
      <c r="B28" s="2">
        <v>6.69</v>
      </c>
      <c r="C28" s="2">
        <v>15.05</v>
      </c>
      <c r="D28" s="2">
        <f t="shared" si="24"/>
        <v>8.3599999999999994E-3</v>
      </c>
      <c r="E28" s="2">
        <f t="shared" si="19"/>
        <v>2E-3</v>
      </c>
      <c r="F28" s="2">
        <v>6.8949999999999996</v>
      </c>
      <c r="G28" s="2">
        <v>10</v>
      </c>
      <c r="H28" s="3">
        <f>(D28/(E28*(G28/60)))</f>
        <v>25.08</v>
      </c>
      <c r="I28" s="3"/>
      <c r="J28" s="2"/>
      <c r="K28">
        <f t="shared" si="22"/>
        <v>3.6374184191443075</v>
      </c>
      <c r="L28" s="3"/>
      <c r="M28" s="2"/>
      <c r="N28" s="6" t="s">
        <v>33</v>
      </c>
      <c r="O28" s="6">
        <v>16.88</v>
      </c>
      <c r="P28" s="6">
        <v>12.26</v>
      </c>
      <c r="Q28" s="7">
        <f t="shared" si="17"/>
        <v>27.369668246445496</v>
      </c>
      <c r="R28" s="42">
        <f t="shared" si="25"/>
        <v>1.45260663507109E-2</v>
      </c>
      <c r="S28" s="42"/>
      <c r="T28" s="7"/>
      <c r="U28" s="7"/>
      <c r="V28" s="7"/>
      <c r="W28" s="6"/>
      <c r="X28" s="6"/>
    </row>
    <row r="29" spans="1:38" x14ac:dyDescent="0.3">
      <c r="A29" t="s">
        <v>15</v>
      </c>
      <c r="B29" s="2">
        <v>6.69</v>
      </c>
      <c r="C29" s="2">
        <v>11.88</v>
      </c>
      <c r="D29" s="2">
        <f t="shared" si="24"/>
        <v>5.1900000000000002E-3</v>
      </c>
      <c r="E29" s="2">
        <f t="shared" si="19"/>
        <v>2E-3</v>
      </c>
      <c r="F29" s="2">
        <v>6.8949999999999996</v>
      </c>
      <c r="G29" s="2">
        <v>10</v>
      </c>
      <c r="H29" s="3">
        <f t="shared" ref="H29:H31" si="26">(D29/(E29*(G29/60)))</f>
        <v>15.57</v>
      </c>
      <c r="I29" s="3">
        <f>AVERAGE(H29:H31)</f>
        <v>10.43</v>
      </c>
      <c r="J29" s="2">
        <f>_xlfn.STDEV.P(H29:H31)</f>
        <v>7.3753779564168793</v>
      </c>
      <c r="K29">
        <f>H29/F29</f>
        <v>2.2581580855692533</v>
      </c>
      <c r="L29" s="3">
        <f>AVERAGE(K29:K31)</f>
        <v>1.5126903553299496</v>
      </c>
      <c r="M29" s="2">
        <f>_xlfn.STDEV.P(K29:K31)</f>
        <v>1.0696704795383432</v>
      </c>
      <c r="N29" s="6" t="s">
        <v>15</v>
      </c>
      <c r="O29" s="6">
        <v>15.54</v>
      </c>
      <c r="P29" s="6">
        <v>12.38</v>
      </c>
      <c r="Q29" s="7">
        <f t="shared" si="17"/>
        <v>20.334620334620325</v>
      </c>
      <c r="R29" s="42">
        <f>((100-Q29)/100)*0.002*10</f>
        <v>1.5933075933075934E-2</v>
      </c>
      <c r="S29" s="42">
        <f>AVERAGE(R29:R31)</f>
        <v>1.64993564993565E-2</v>
      </c>
      <c r="T29" s="7"/>
      <c r="U29" s="7"/>
      <c r="V29" s="7"/>
      <c r="W29" s="7">
        <f>AVERAGE(Q29:Q31)</f>
        <v>17.503217503217499</v>
      </c>
      <c r="X29" s="7">
        <f>_xlfn.STDEV.P(Q29:Q31)</f>
        <v>2.013104797365914</v>
      </c>
    </row>
    <row r="30" spans="1:38" x14ac:dyDescent="0.3">
      <c r="A30" t="s">
        <v>16</v>
      </c>
      <c r="B30" s="2">
        <v>6.68</v>
      </c>
      <c r="C30" s="2">
        <v>11.92</v>
      </c>
      <c r="D30" s="2">
        <f t="shared" si="24"/>
        <v>5.2399999999999999E-3</v>
      </c>
      <c r="E30" s="2">
        <f t="shared" si="19"/>
        <v>2E-3</v>
      </c>
      <c r="F30" s="2">
        <v>6.8949999999999996</v>
      </c>
      <c r="G30" s="2">
        <v>10</v>
      </c>
      <c r="H30" s="3">
        <f t="shared" si="26"/>
        <v>15.72</v>
      </c>
      <c r="I30" s="3"/>
      <c r="J30" s="2"/>
      <c r="K30">
        <f t="shared" si="22"/>
        <v>2.2799129804205949</v>
      </c>
      <c r="N30" s="6" t="s">
        <v>16</v>
      </c>
      <c r="O30" s="6">
        <v>15.54</v>
      </c>
      <c r="P30" s="6">
        <v>13.08</v>
      </c>
      <c r="Q30" s="7">
        <f t="shared" si="17"/>
        <v>15.830115830115826</v>
      </c>
      <c r="R30" s="42">
        <f t="shared" ref="R30:R31" si="27">((100-Q30)/100)*0.002*10</f>
        <v>1.6833976833976833E-2</v>
      </c>
      <c r="S30" s="42"/>
      <c r="T30" s="7"/>
      <c r="U30" s="7"/>
      <c r="V30" s="7"/>
      <c r="W30" s="6"/>
      <c r="X30" s="6"/>
    </row>
    <row r="31" spans="1:38" x14ac:dyDescent="0.3">
      <c r="A31" t="s">
        <v>34</v>
      </c>
      <c r="B31" s="2"/>
      <c r="C31" s="2"/>
      <c r="D31" s="2">
        <f t="shared" si="24"/>
        <v>0</v>
      </c>
      <c r="E31" s="2">
        <f t="shared" si="19"/>
        <v>2E-3</v>
      </c>
      <c r="F31" s="2">
        <v>6.8949999999999996</v>
      </c>
      <c r="G31" s="2">
        <v>10</v>
      </c>
      <c r="H31" s="3">
        <f t="shared" si="26"/>
        <v>0</v>
      </c>
      <c r="I31" s="3"/>
      <c r="J31" s="2"/>
      <c r="K31">
        <f t="shared" si="22"/>
        <v>0</v>
      </c>
      <c r="N31" s="6" t="s">
        <v>34</v>
      </c>
      <c r="O31" s="6">
        <v>15.54</v>
      </c>
      <c r="P31" s="6">
        <v>13</v>
      </c>
      <c r="Q31" s="7">
        <f t="shared" si="17"/>
        <v>16.344916344916339</v>
      </c>
      <c r="R31" s="42">
        <f t="shared" si="27"/>
        <v>1.6731016731016735E-2</v>
      </c>
      <c r="S31" s="42"/>
      <c r="T31" s="7"/>
      <c r="U31" s="7"/>
      <c r="V31" s="7"/>
      <c r="W31" s="6"/>
      <c r="X31" s="6"/>
    </row>
    <row r="32" spans="1:38" x14ac:dyDescent="0.3">
      <c r="A32" t="s">
        <v>18</v>
      </c>
      <c r="N32" s="8" t="s">
        <v>18</v>
      </c>
      <c r="O32" s="8">
        <v>0</v>
      </c>
      <c r="P32" s="8">
        <v>0</v>
      </c>
      <c r="Q32" s="9" t="e">
        <f>(O32-P32)*100/O32</f>
        <v>#DIV/0!</v>
      </c>
      <c r="R32" s="9"/>
      <c r="S32" s="9"/>
      <c r="T32" s="9"/>
      <c r="U32" s="9"/>
      <c r="V32" s="9"/>
      <c r="W32" s="8"/>
      <c r="X32" s="8"/>
      <c r="Y32" t="s">
        <v>58</v>
      </c>
      <c r="Z32" t="s">
        <v>59</v>
      </c>
      <c r="AA32" t="s">
        <v>9</v>
      </c>
    </row>
    <row r="33" spans="1:37" x14ac:dyDescent="0.3">
      <c r="A33" t="s">
        <v>11</v>
      </c>
      <c r="B33" s="2">
        <v>6.69</v>
      </c>
      <c r="C33" s="2">
        <v>11.16</v>
      </c>
      <c r="D33" s="2">
        <f>(C33-B33)/1000</f>
        <v>4.47E-3</v>
      </c>
      <c r="E33" s="2">
        <f>20/(100^2)</f>
        <v>2E-3</v>
      </c>
      <c r="F33" s="2">
        <f>6.895*1.5</f>
        <v>10.342499999999999</v>
      </c>
      <c r="G33" s="2">
        <v>10</v>
      </c>
      <c r="H33" s="3">
        <f>(D33/(E33*(G33/60)))</f>
        <v>13.41</v>
      </c>
      <c r="I33" s="3">
        <f>AVERAGE(H33:H35)</f>
        <v>20.079999999999998</v>
      </c>
      <c r="J33" s="2">
        <f>_xlfn.STDEV.P(H33:H35)</f>
        <v>6.1557940186461675</v>
      </c>
      <c r="K33">
        <f>H33/F33</f>
        <v>1.2965917331399566</v>
      </c>
      <c r="L33" s="3">
        <f>AVERAGE(K33:K35)</f>
        <v>1.9415035049552813</v>
      </c>
      <c r="M33" s="2">
        <f>_xlfn.STDEV.P(K33:K35)</f>
        <v>0.59519400712073223</v>
      </c>
      <c r="N33" s="8" t="s">
        <v>11</v>
      </c>
      <c r="O33" s="8">
        <v>24.67</v>
      </c>
      <c r="P33" s="8">
        <v>9.14</v>
      </c>
      <c r="Q33" s="9">
        <f t="shared" ref="Q33:Q41" si="28">(O33-P33)*100/O33</f>
        <v>62.950952573976487</v>
      </c>
      <c r="R33" s="41">
        <f>((100-Q33)/100)*0.002*10</f>
        <v>7.4098094852047026E-3</v>
      </c>
      <c r="S33" s="41">
        <f>AVERAGE(R33:R35)</f>
        <v>7.8908255641129584E-3</v>
      </c>
      <c r="T33" s="9">
        <f>R33/$S$23</f>
        <v>0.70242991268528354</v>
      </c>
      <c r="U33" s="9">
        <f>AVERAGE(T33:T35)</f>
        <v>0.74802893692232963</v>
      </c>
      <c r="V33" s="9">
        <f>_xlfn.STDEV.P(T33:T35)</f>
        <v>3.2462448516864958E-2</v>
      </c>
      <c r="W33" s="9">
        <f>AVERAGE(Q33:Q35)</f>
        <v>60.545872179435207</v>
      </c>
      <c r="X33" s="9">
        <f>_xlfn.STDEV.P(Q33:Q35)</f>
        <v>1.7122032717377078</v>
      </c>
      <c r="Y33">
        <v>0</v>
      </c>
      <c r="Z33">
        <v>0</v>
      </c>
      <c r="AA33">
        <v>0</v>
      </c>
    </row>
    <row r="34" spans="1:37" x14ac:dyDescent="0.3">
      <c r="A34" t="s">
        <v>12</v>
      </c>
      <c r="B34" s="2">
        <v>6.68</v>
      </c>
      <c r="C34" s="2">
        <v>12.87</v>
      </c>
      <c r="D34" s="2">
        <f t="shared" ref="D34:D35" si="29">(C34-B34)/1000</f>
        <v>6.1899999999999993E-3</v>
      </c>
      <c r="E34" s="2">
        <f t="shared" ref="E34:E41" si="30">20/(100^2)</f>
        <v>2E-3</v>
      </c>
      <c r="F34" s="2">
        <f t="shared" ref="F34:F35" si="31">6.895*1.5</f>
        <v>10.342499999999999</v>
      </c>
      <c r="G34" s="2">
        <v>10</v>
      </c>
      <c r="H34" s="3">
        <f t="shared" ref="H34:H36" si="32">(D34/(E34*(G34/60)))</f>
        <v>18.57</v>
      </c>
      <c r="I34" s="3"/>
      <c r="J34" s="3"/>
      <c r="K34">
        <f t="shared" ref="K34:K41" si="33">H34/F34</f>
        <v>1.7955039883973896</v>
      </c>
      <c r="L34" s="3"/>
      <c r="M34" s="3"/>
      <c r="N34" s="8" t="s">
        <v>12</v>
      </c>
      <c r="O34" s="8">
        <v>24.67</v>
      </c>
      <c r="P34" s="8">
        <v>10.09</v>
      </c>
      <c r="Q34" s="9">
        <f t="shared" si="28"/>
        <v>59.100121605188491</v>
      </c>
      <c r="R34" s="41">
        <f t="shared" ref="R34:R35" si="34">((100-Q34)/100)*0.002*10</f>
        <v>8.1799756789623021E-3</v>
      </c>
      <c r="S34" s="41"/>
      <c r="T34" s="9">
        <f t="shared" ref="T34:T35" si="35">R34/$S$23</f>
        <v>0.77543958632325061</v>
      </c>
      <c r="U34" s="9"/>
      <c r="V34" s="9"/>
      <c r="W34" s="9"/>
      <c r="X34" s="9"/>
      <c r="Y34">
        <v>0</v>
      </c>
      <c r="Z34">
        <v>0</v>
      </c>
      <c r="AA34">
        <v>0</v>
      </c>
    </row>
    <row r="35" spans="1:37" x14ac:dyDescent="0.3">
      <c r="A35" t="s">
        <v>32</v>
      </c>
      <c r="B35" s="2">
        <v>6.66</v>
      </c>
      <c r="C35" s="2">
        <v>16.079999999999998</v>
      </c>
      <c r="D35" s="2">
        <f t="shared" si="29"/>
        <v>9.4199999999999978E-3</v>
      </c>
      <c r="E35" s="2">
        <f t="shared" si="30"/>
        <v>2E-3</v>
      </c>
      <c r="F35" s="2">
        <f t="shared" si="31"/>
        <v>10.342499999999999</v>
      </c>
      <c r="G35" s="2">
        <v>10</v>
      </c>
      <c r="H35" s="3">
        <f t="shared" si="32"/>
        <v>28.259999999999994</v>
      </c>
      <c r="I35" s="3"/>
      <c r="J35" s="3"/>
      <c r="K35">
        <f t="shared" si="33"/>
        <v>2.7324147933284983</v>
      </c>
      <c r="L35" s="3"/>
      <c r="M35" s="3"/>
      <c r="N35" s="8" t="s">
        <v>32</v>
      </c>
      <c r="O35" s="8">
        <v>24.67</v>
      </c>
      <c r="P35" s="8">
        <v>9.9700000000000006</v>
      </c>
      <c r="Q35" s="9">
        <f t="shared" si="28"/>
        <v>59.586542359140651</v>
      </c>
      <c r="R35" s="41">
        <f t="shared" si="34"/>
        <v>8.0826915281718703E-3</v>
      </c>
      <c r="S35" s="41"/>
      <c r="T35" s="9">
        <f t="shared" si="35"/>
        <v>0.76621731175845498</v>
      </c>
      <c r="U35" s="9"/>
      <c r="V35" s="9"/>
      <c r="W35" s="9"/>
      <c r="X35" s="9"/>
      <c r="Y35">
        <v>0</v>
      </c>
      <c r="Z35">
        <v>0</v>
      </c>
      <c r="AA35">
        <v>0</v>
      </c>
    </row>
    <row r="36" spans="1:37" x14ac:dyDescent="0.3">
      <c r="A36" t="s">
        <v>13</v>
      </c>
      <c r="B36" s="2">
        <v>6.67</v>
      </c>
      <c r="C36" s="2">
        <v>12.51</v>
      </c>
      <c r="D36" s="2">
        <f>(C36-B36)/1000</f>
        <v>5.8399999999999997E-3</v>
      </c>
      <c r="E36" s="2">
        <f t="shared" si="30"/>
        <v>2E-3</v>
      </c>
      <c r="F36" s="2">
        <v>6.8949999999999996</v>
      </c>
      <c r="G36" s="2">
        <v>10</v>
      </c>
      <c r="H36" s="3">
        <f t="shared" si="32"/>
        <v>17.52</v>
      </c>
      <c r="I36" s="3">
        <f>AVERAGE(H36:H38)</f>
        <v>23.070000000000004</v>
      </c>
      <c r="J36" s="2">
        <f>_xlfn.STDEV.P(H36:H38)</f>
        <v>4.1147782443286038</v>
      </c>
      <c r="K36">
        <f>H36/F36</f>
        <v>2.5409717186366931</v>
      </c>
      <c r="L36" s="3">
        <f>AVERAGE(K36:K38)</f>
        <v>3.3459028281363312</v>
      </c>
      <c r="M36" s="2">
        <f>_xlfn.STDEV.P(K36:K38)</f>
        <v>0.59677712027970919</v>
      </c>
      <c r="N36" s="8" t="s">
        <v>13</v>
      </c>
      <c r="O36" s="8">
        <v>16.37</v>
      </c>
      <c r="P36" s="8">
        <v>7.07</v>
      </c>
      <c r="Q36" s="9">
        <f t="shared" si="28"/>
        <v>56.81124007330483</v>
      </c>
      <c r="R36" s="41">
        <f>((100-Q36)/100)*0.002*10</f>
        <v>8.6377519853390334E-3</v>
      </c>
      <c r="S36" s="41">
        <f>AVERAGE(R36:R38)</f>
        <v>1.0209733251883525E-2</v>
      </c>
      <c r="T36" s="9">
        <f>R36/$S$26</f>
        <v>0.58998618901749211</v>
      </c>
      <c r="U36" s="9">
        <f>AVERAGE(T36:T38)</f>
        <v>0.69735755580709691</v>
      </c>
      <c r="V36" s="9">
        <f>_xlfn.STDEV.P(T36:T38)</f>
        <v>7.6437973277331067E-2</v>
      </c>
      <c r="W36" s="9">
        <f>AVERAGE(Q36:Q38)</f>
        <v>48.951333740582378</v>
      </c>
      <c r="X36" s="9">
        <f>_xlfn.STDEV.P(Q36:Q38)</f>
        <v>5.5954890785754738</v>
      </c>
      <c r="Y36">
        <v>0</v>
      </c>
      <c r="Z36">
        <v>0</v>
      </c>
      <c r="AA36">
        <v>0</v>
      </c>
    </row>
    <row r="37" spans="1:37" x14ac:dyDescent="0.3">
      <c r="A37" t="s">
        <v>14</v>
      </c>
      <c r="B37" s="2">
        <v>6.68</v>
      </c>
      <c r="C37" s="2">
        <v>15.8</v>
      </c>
      <c r="D37" s="2">
        <f t="shared" ref="D37:D41" si="36">(C37-B37)/1000</f>
        <v>9.1200000000000014E-3</v>
      </c>
      <c r="E37" s="2">
        <f t="shared" si="30"/>
        <v>2E-3</v>
      </c>
      <c r="F37" s="2">
        <v>6.8949999999999996</v>
      </c>
      <c r="G37" s="2">
        <v>10</v>
      </c>
      <c r="H37" s="3">
        <f>(D37/(E37*(G37/60)))</f>
        <v>27.360000000000007</v>
      </c>
      <c r="I37" s="3"/>
      <c r="J37" s="2"/>
      <c r="K37">
        <f t="shared" si="33"/>
        <v>3.9680928208847002</v>
      </c>
      <c r="L37" s="3"/>
      <c r="M37" s="2"/>
      <c r="N37" s="8" t="s">
        <v>14</v>
      </c>
      <c r="O37" s="8">
        <v>16.37</v>
      </c>
      <c r="P37" s="8">
        <v>9.1300000000000008</v>
      </c>
      <c r="Q37" s="9">
        <f t="shared" si="28"/>
        <v>44.22724496029322</v>
      </c>
      <c r="R37" s="41">
        <f t="shared" ref="R37:R38" si="37">((100-Q37)/100)*0.002*10</f>
        <v>1.1154551007941356E-2</v>
      </c>
      <c r="S37" s="41"/>
      <c r="T37" s="9">
        <f t="shared" ref="T37:T38" si="38">R37/$S$26</f>
        <v>0.76189164154592692</v>
      </c>
      <c r="U37" s="9"/>
      <c r="V37" s="9"/>
      <c r="W37" s="8"/>
      <c r="X37" s="8"/>
      <c r="Y37">
        <v>0</v>
      </c>
      <c r="Z37">
        <v>0</v>
      </c>
      <c r="AA37">
        <v>0</v>
      </c>
    </row>
    <row r="38" spans="1:37" x14ac:dyDescent="0.3">
      <c r="A38" t="s">
        <v>33</v>
      </c>
      <c r="B38" s="2">
        <v>6.71</v>
      </c>
      <c r="C38" s="2">
        <v>14.82</v>
      </c>
      <c r="D38" s="2">
        <f t="shared" si="36"/>
        <v>8.1099999999999992E-3</v>
      </c>
      <c r="E38" s="2">
        <f t="shared" si="30"/>
        <v>2E-3</v>
      </c>
      <c r="F38" s="2">
        <v>6.8949999999999996</v>
      </c>
      <c r="G38" s="2">
        <v>10</v>
      </c>
      <c r="H38" s="3">
        <f>(D38/(E38*(G38/60)))</f>
        <v>24.33</v>
      </c>
      <c r="I38" s="3"/>
      <c r="J38" s="2"/>
      <c r="K38">
        <f t="shared" si="33"/>
        <v>3.5286439448875995</v>
      </c>
      <c r="L38" s="3"/>
      <c r="M38" s="2"/>
      <c r="N38" s="8" t="s">
        <v>33</v>
      </c>
      <c r="O38" s="8">
        <v>16.37</v>
      </c>
      <c r="P38" s="8">
        <v>8.8699999999999992</v>
      </c>
      <c r="Q38" s="9">
        <f t="shared" si="28"/>
        <v>45.815516188149061</v>
      </c>
      <c r="R38" s="41">
        <f t="shared" si="37"/>
        <v>1.0836896762370186E-2</v>
      </c>
      <c r="S38" s="41"/>
      <c r="T38" s="9">
        <f t="shared" si="38"/>
        <v>0.74019483685787191</v>
      </c>
      <c r="U38" s="9"/>
      <c r="V38" s="9"/>
      <c r="W38" s="8"/>
      <c r="X38" s="8"/>
      <c r="Y38">
        <v>0</v>
      </c>
      <c r="Z38">
        <v>0</v>
      </c>
      <c r="AA38">
        <v>0</v>
      </c>
    </row>
    <row r="39" spans="1:37" x14ac:dyDescent="0.3">
      <c r="A39" t="s">
        <v>15</v>
      </c>
      <c r="B39" s="2">
        <v>6.67</v>
      </c>
      <c r="C39" s="2">
        <v>11.77</v>
      </c>
      <c r="D39" s="2">
        <f t="shared" si="36"/>
        <v>5.0999999999999995E-3</v>
      </c>
      <c r="E39" s="2">
        <f t="shared" si="30"/>
        <v>2E-3</v>
      </c>
      <c r="F39" s="2">
        <v>6.8949999999999996</v>
      </c>
      <c r="G39" s="2">
        <v>10</v>
      </c>
      <c r="H39" s="3">
        <f t="shared" ref="H39:H41" si="39">(D39/(E39*(G39/60)))</f>
        <v>15.299999999999999</v>
      </c>
      <c r="I39" s="3">
        <f>AVERAGE(H39:H41)</f>
        <v>10.229999999999999</v>
      </c>
      <c r="J39" s="2">
        <f>_xlfn.STDEV.P(H39:H41)</f>
        <v>7.2337956841481228</v>
      </c>
      <c r="K39">
        <f>H39/F39</f>
        <v>2.2189992748368383</v>
      </c>
      <c r="L39" s="3">
        <f>AVERAGE(K39:K41)</f>
        <v>1.483683828861494</v>
      </c>
      <c r="M39" s="2">
        <f>_xlfn.STDEV.P(K39:K41)</f>
        <v>1.0491364298982049</v>
      </c>
      <c r="N39" s="8" t="s">
        <v>15</v>
      </c>
      <c r="O39" s="8">
        <v>16.28</v>
      </c>
      <c r="P39" s="8">
        <v>9.48</v>
      </c>
      <c r="Q39" s="9">
        <f t="shared" si="28"/>
        <v>41.76904176904177</v>
      </c>
      <c r="R39" s="41">
        <f>((100-Q39)/100)*0.002*10</f>
        <v>1.1646191646191646E-2</v>
      </c>
      <c r="S39" s="41">
        <f>AVERAGE(R39:R41)</f>
        <v>1.2678132678132677E-2</v>
      </c>
      <c r="T39" s="9">
        <f>R39/$S$29</f>
        <v>0.70585732520209887</v>
      </c>
      <c r="U39" s="9">
        <f>AVERAGE(T39:T41)</f>
        <v>0.76840164515671538</v>
      </c>
      <c r="V39" s="9">
        <f>_xlfn.STDEV.P(T39:T41)</f>
        <v>6.3085635545154339E-2</v>
      </c>
      <c r="W39" s="9">
        <f>AVERAGE(Q39:Q41)</f>
        <v>36.609336609336616</v>
      </c>
      <c r="X39" s="9">
        <f>_xlfn.STDEV.P(Q39:Q41)</f>
        <v>5.2043619542398858</v>
      </c>
      <c r="Y39">
        <v>0</v>
      </c>
      <c r="Z39">
        <v>0</v>
      </c>
      <c r="AA39">
        <v>0</v>
      </c>
    </row>
    <row r="40" spans="1:37" x14ac:dyDescent="0.3">
      <c r="A40" t="s">
        <v>16</v>
      </c>
      <c r="B40" s="2">
        <v>6.69</v>
      </c>
      <c r="C40" s="2">
        <v>11.82</v>
      </c>
      <c r="D40" s="2">
        <f t="shared" si="36"/>
        <v>5.13E-3</v>
      </c>
      <c r="E40" s="2">
        <f t="shared" si="30"/>
        <v>2E-3</v>
      </c>
      <c r="F40" s="2">
        <v>6.8949999999999996</v>
      </c>
      <c r="G40" s="2">
        <v>10</v>
      </c>
      <c r="H40" s="3">
        <f t="shared" si="39"/>
        <v>15.39</v>
      </c>
      <c r="I40" s="3"/>
      <c r="J40" s="2"/>
      <c r="K40">
        <f t="shared" si="33"/>
        <v>2.2320522117476433</v>
      </c>
      <c r="N40" s="8" t="s">
        <v>16</v>
      </c>
      <c r="O40" s="8">
        <v>16.28</v>
      </c>
      <c r="P40" s="8">
        <v>11.48</v>
      </c>
      <c r="Q40" s="9">
        <f t="shared" si="28"/>
        <v>29.484029484029485</v>
      </c>
      <c r="R40" s="41">
        <f t="shared" ref="R40:R41" si="40">((100-Q40)/100)*0.002*10</f>
        <v>1.4103194103194102E-2</v>
      </c>
      <c r="S40" s="41"/>
      <c r="T40" s="9">
        <f t="shared" ref="T40:T41" si="41">R40/$S$29</f>
        <v>0.85477237271309026</v>
      </c>
      <c r="U40" s="9"/>
      <c r="V40" s="9"/>
      <c r="W40" s="8"/>
      <c r="X40" s="8"/>
      <c r="Y40">
        <v>0</v>
      </c>
      <c r="Z40">
        <v>0</v>
      </c>
      <c r="AA40">
        <v>0</v>
      </c>
      <c r="AJ40">
        <v>3.53</v>
      </c>
      <c r="AK40">
        <v>32.936507936507944</v>
      </c>
    </row>
    <row r="41" spans="1:37" x14ac:dyDescent="0.3">
      <c r="A41" t="s">
        <v>34</v>
      </c>
      <c r="B41" s="2"/>
      <c r="C41" s="2"/>
      <c r="D41" s="2">
        <f t="shared" si="36"/>
        <v>0</v>
      </c>
      <c r="E41" s="2">
        <f t="shared" si="30"/>
        <v>2E-3</v>
      </c>
      <c r="F41" s="2">
        <v>6.8949999999999996</v>
      </c>
      <c r="G41" s="2">
        <v>10</v>
      </c>
      <c r="H41" s="3">
        <f t="shared" si="39"/>
        <v>0</v>
      </c>
      <c r="I41" s="3"/>
      <c r="J41" s="2"/>
      <c r="K41">
        <f t="shared" si="33"/>
        <v>0</v>
      </c>
      <c r="N41" s="8" t="s">
        <v>34</v>
      </c>
      <c r="O41" s="8">
        <v>16.28</v>
      </c>
      <c r="P41" s="8">
        <v>10</v>
      </c>
      <c r="Q41" s="9">
        <f t="shared" si="28"/>
        <v>38.574938574938578</v>
      </c>
      <c r="R41" s="41">
        <f t="shared" si="40"/>
        <v>1.2285012285012284E-2</v>
      </c>
      <c r="S41" s="41"/>
      <c r="T41" s="9">
        <f t="shared" si="41"/>
        <v>0.74457523755495669</v>
      </c>
      <c r="U41" s="9"/>
      <c r="V41" s="9"/>
      <c r="W41" s="8"/>
      <c r="X41" s="8"/>
      <c r="Y41">
        <v>0</v>
      </c>
      <c r="Z41">
        <v>0</v>
      </c>
      <c r="AA41">
        <v>0</v>
      </c>
      <c r="AJ41">
        <v>4.9400000000000004</v>
      </c>
      <c r="AK41">
        <v>15.87982832618026</v>
      </c>
    </row>
    <row r="42" spans="1:37" x14ac:dyDescent="0.3">
      <c r="A42" t="s">
        <v>20</v>
      </c>
      <c r="N42" s="10" t="s">
        <v>20</v>
      </c>
      <c r="O42" s="10">
        <v>0</v>
      </c>
      <c r="P42" s="10">
        <v>0</v>
      </c>
      <c r="Q42" s="11" t="e">
        <f>(O42-P42)*100/O42</f>
        <v>#DIV/0!</v>
      </c>
      <c r="R42" s="11"/>
      <c r="S42" s="11"/>
      <c r="T42" s="11"/>
      <c r="U42" s="11"/>
      <c r="V42" s="11"/>
      <c r="W42" s="10"/>
      <c r="X42" s="10"/>
      <c r="AJ42">
        <v>6.63</v>
      </c>
      <c r="AK42">
        <v>38.49372384937238</v>
      </c>
    </row>
    <row r="43" spans="1:37" x14ac:dyDescent="0.3">
      <c r="A43" t="s">
        <v>11</v>
      </c>
      <c r="B43" s="2">
        <v>6.67</v>
      </c>
      <c r="C43" s="2">
        <v>11.03</v>
      </c>
      <c r="D43" s="2">
        <f>(C43-B43)/1000</f>
        <v>4.3599999999999993E-3</v>
      </c>
      <c r="E43" s="2">
        <f>20/(100^2)</f>
        <v>2E-3</v>
      </c>
      <c r="F43" s="2">
        <f>6.895*1.5</f>
        <v>10.342499999999999</v>
      </c>
      <c r="G43" s="2">
        <v>10</v>
      </c>
      <c r="H43" s="3">
        <f>(D43/(E43*(G43/60)))</f>
        <v>13.079999999999998</v>
      </c>
      <c r="I43" s="3">
        <f>AVERAGE(H43:H45)</f>
        <v>19.59</v>
      </c>
      <c r="J43" s="2">
        <f>_xlfn.STDEV.P(H43:H45)</f>
        <v>6.1015899567244007</v>
      </c>
      <c r="K43">
        <f>H43/F43</f>
        <v>1.2646845540246554</v>
      </c>
      <c r="L43" s="3">
        <f>AVERAGE(K43:K45)</f>
        <v>1.894126178390138</v>
      </c>
      <c r="M43" s="2">
        <f>_xlfn.STDEV.P(K43:K45)</f>
        <v>0.58995310193129336</v>
      </c>
      <c r="N43" s="10" t="s">
        <v>11</v>
      </c>
      <c r="O43" s="10">
        <v>16.71</v>
      </c>
      <c r="P43" s="10">
        <v>4.8099999999999996</v>
      </c>
      <c r="Q43" s="11">
        <f t="shared" ref="Q43:Q51" si="42">(O43-P43)*100/O43</f>
        <v>71.214841412327957</v>
      </c>
      <c r="R43" s="40">
        <f>((100-Q43)/100)*0.002*10</f>
        <v>5.7570317175344088E-3</v>
      </c>
      <c r="S43" s="40">
        <f>AVERAGE(R43:R45)</f>
        <v>6.2996209854378621E-3</v>
      </c>
      <c r="T43" s="11">
        <f>R43/$S$33</f>
        <v>0.7295854750252081</v>
      </c>
      <c r="U43" s="11">
        <f>AVERAGE(T43:T45)</f>
        <v>0.7983475156374249</v>
      </c>
      <c r="V43" s="11">
        <f>_xlfn.STDEV.P(T43:T45)</f>
        <v>6.9413266895172673E-2</v>
      </c>
      <c r="W43" s="11">
        <f>AVERAGE(Q43:Q45)</f>
        <v>68.501895072810697</v>
      </c>
      <c r="X43" s="11">
        <f>_xlfn.STDEV.P(Q43:Q45)</f>
        <v>2.7386399045251202</v>
      </c>
      <c r="Y43" s="18">
        <f>Q43-$Q$33</f>
        <v>8.2638888383514697</v>
      </c>
      <c r="AJ43">
        <v>8.85</v>
      </c>
      <c r="AK43">
        <v>45.614035087719301</v>
      </c>
    </row>
    <row r="44" spans="1:37" x14ac:dyDescent="0.3">
      <c r="A44" t="s">
        <v>12</v>
      </c>
      <c r="B44" s="2">
        <v>6.66</v>
      </c>
      <c r="C44" s="2">
        <v>12.64</v>
      </c>
      <c r="D44" s="2">
        <f t="shared" ref="D44:D45" si="43">(C44-B44)/1000</f>
        <v>5.9800000000000001E-3</v>
      </c>
      <c r="E44" s="2">
        <f t="shared" ref="E44:E51" si="44">20/(100^2)</f>
        <v>2E-3</v>
      </c>
      <c r="F44" s="2">
        <f t="shared" ref="F44:F45" si="45">6.895*1.5</f>
        <v>10.342499999999999</v>
      </c>
      <c r="G44" s="2">
        <v>10</v>
      </c>
      <c r="H44" s="3">
        <f t="shared" ref="H44:H46" si="46">(D44/(E44*(G44/60)))</f>
        <v>17.940000000000001</v>
      </c>
      <c r="I44" s="3"/>
      <c r="J44" s="3"/>
      <c r="K44">
        <f t="shared" ref="K44:K51" si="47">H44/F44</f>
        <v>1.7345902828136333</v>
      </c>
      <c r="L44" s="3"/>
      <c r="M44" s="3"/>
      <c r="N44" s="10" t="s">
        <v>12</v>
      </c>
      <c r="O44" s="10">
        <v>16.71</v>
      </c>
      <c r="P44" s="10">
        <v>5.09</v>
      </c>
      <c r="Q44" s="11">
        <f t="shared" si="42"/>
        <v>69.539198084979049</v>
      </c>
      <c r="R44" s="40">
        <f t="shared" ref="R44:R45" si="48">((100-Q44)/100)*0.002*10</f>
        <v>6.0921603830041901E-3</v>
      </c>
      <c r="S44" s="40"/>
      <c r="T44" s="11">
        <f t="shared" ref="T44:T45" si="49">R44/$S$33</f>
        <v>0.77205614716804805</v>
      </c>
      <c r="U44" s="11"/>
      <c r="V44" s="11"/>
      <c r="W44" s="11"/>
      <c r="X44" s="11"/>
      <c r="Y44" s="18">
        <f>Q44-$Q$34</f>
        <v>10.439076479790558</v>
      </c>
      <c r="Z44" s="18">
        <f>AVERAGE(Y43:Y45)</f>
        <v>7.9560228933754829</v>
      </c>
      <c r="AA44">
        <f>_xlfn.STDEV.P(Y43:Y45)</f>
        <v>2.1640678042200068</v>
      </c>
      <c r="AJ44">
        <v>9.98</v>
      </c>
      <c r="AK44">
        <v>84.449339207048467</v>
      </c>
    </row>
    <row r="45" spans="1:37" x14ac:dyDescent="0.3">
      <c r="A45" t="s">
        <v>32</v>
      </c>
      <c r="B45" s="2">
        <v>6.72</v>
      </c>
      <c r="C45" s="2">
        <v>15.97</v>
      </c>
      <c r="D45" s="2">
        <f t="shared" si="43"/>
        <v>9.2499999999999995E-3</v>
      </c>
      <c r="E45" s="2">
        <f t="shared" si="44"/>
        <v>2E-3</v>
      </c>
      <c r="F45" s="2">
        <f t="shared" si="45"/>
        <v>10.342499999999999</v>
      </c>
      <c r="G45" s="2">
        <v>10</v>
      </c>
      <c r="H45" s="3">
        <f t="shared" si="46"/>
        <v>27.75</v>
      </c>
      <c r="I45" s="3"/>
      <c r="J45" s="3"/>
      <c r="K45">
        <f t="shared" si="47"/>
        <v>2.683103698332125</v>
      </c>
      <c r="L45" s="3"/>
      <c r="M45" s="3"/>
      <c r="N45" s="10" t="s">
        <v>32</v>
      </c>
      <c r="O45" s="10">
        <v>16.71</v>
      </c>
      <c r="P45" s="10">
        <v>5.89</v>
      </c>
      <c r="Q45" s="11">
        <f t="shared" si="42"/>
        <v>64.751645721125072</v>
      </c>
      <c r="R45" s="40">
        <f t="shared" si="48"/>
        <v>7.0496708557749857E-3</v>
      </c>
      <c r="S45" s="40"/>
      <c r="T45" s="11">
        <f t="shared" si="49"/>
        <v>0.89340092471901822</v>
      </c>
      <c r="U45" s="11"/>
      <c r="V45" s="11"/>
      <c r="W45" s="11"/>
      <c r="X45" s="11"/>
      <c r="Y45" s="18">
        <f>Q45-$Q$35</f>
        <v>5.1651033619844213</v>
      </c>
      <c r="AJ45">
        <v>10.44</v>
      </c>
      <c r="AK45">
        <v>88.864628820960689</v>
      </c>
    </row>
    <row r="46" spans="1:37" x14ac:dyDescent="0.3">
      <c r="A46" t="s">
        <v>13</v>
      </c>
      <c r="B46" s="2">
        <v>6.66</v>
      </c>
      <c r="C46" s="2">
        <v>12.2</v>
      </c>
      <c r="D46" s="2">
        <f>(C46-B46)/1000</f>
        <v>5.5399999999999989E-3</v>
      </c>
      <c r="E46" s="2">
        <f t="shared" si="44"/>
        <v>2E-3</v>
      </c>
      <c r="F46" s="2">
        <v>6.8949999999999996</v>
      </c>
      <c r="G46" s="2">
        <v>10</v>
      </c>
      <c r="H46" s="3">
        <f t="shared" si="46"/>
        <v>16.619999999999997</v>
      </c>
      <c r="I46" s="3">
        <f>AVERAGE(H46:H48)</f>
        <v>21.849999999999998</v>
      </c>
      <c r="J46" s="2">
        <f>_xlfn.STDEV.P(H46:H48)</f>
        <v>3.8995640782015659</v>
      </c>
      <c r="K46">
        <f>H46/F46</f>
        <v>2.4104423495286436</v>
      </c>
      <c r="L46" s="3">
        <f>AVERAGE(K46:K48)</f>
        <v>3.1689630166787528</v>
      </c>
      <c r="M46" s="2">
        <f>_xlfn.STDEV.P(K46:K48)</f>
        <v>0.5655640432489577</v>
      </c>
      <c r="N46" s="10" t="s">
        <v>13</v>
      </c>
      <c r="O46" s="10">
        <v>17.829999999999998</v>
      </c>
      <c r="P46" s="10">
        <v>4.93</v>
      </c>
      <c r="Q46" s="11">
        <f t="shared" si="42"/>
        <v>72.349971957375203</v>
      </c>
      <c r="R46" s="40">
        <f>((100-Q46)/100)*0.002*10</f>
        <v>5.5300056085249598E-3</v>
      </c>
      <c r="S46" s="40">
        <f>AVERAGE(R46:R48)</f>
        <v>6.8536174985978698E-3</v>
      </c>
      <c r="T46" s="11">
        <f>R46/$S$36</f>
        <v>0.54164055730885685</v>
      </c>
      <c r="U46" s="11">
        <f>AVERAGE(T46:T48)</f>
        <v>0.6712827190988061</v>
      </c>
      <c r="V46" s="11">
        <f>_xlfn.STDEV.P(T46:T48)</f>
        <v>9.9455751486214702E-2</v>
      </c>
      <c r="W46" s="11">
        <f>AVERAGE(Q46:Q48)</f>
        <v>65.731912507010648</v>
      </c>
      <c r="X46" s="11">
        <f>_xlfn.STDEV.P(Q46:Q48)</f>
        <v>5.0770834651993333</v>
      </c>
      <c r="Y46" s="18">
        <f>Q46-$Q$36</f>
        <v>15.538731884070373</v>
      </c>
    </row>
    <row r="47" spans="1:37" x14ac:dyDescent="0.3">
      <c r="A47" t="s">
        <v>14</v>
      </c>
      <c r="B47" s="2">
        <v>6.65</v>
      </c>
      <c r="C47" s="2">
        <v>15.31</v>
      </c>
      <c r="D47" s="2">
        <f t="shared" ref="D47:D51" si="50">(C47-B47)/1000</f>
        <v>8.6599999999999993E-3</v>
      </c>
      <c r="E47" s="2">
        <f t="shared" si="44"/>
        <v>2E-3</v>
      </c>
      <c r="F47" s="2">
        <v>6.8949999999999996</v>
      </c>
      <c r="G47" s="2">
        <v>10</v>
      </c>
      <c r="H47" s="3">
        <f>(D47/(E47*(G47/60)))</f>
        <v>25.98</v>
      </c>
      <c r="I47" s="3"/>
      <c r="J47" s="2"/>
      <c r="K47">
        <f t="shared" si="47"/>
        <v>3.7679477882523571</v>
      </c>
      <c r="L47" s="3"/>
      <c r="M47" s="2"/>
      <c r="N47" s="10" t="s">
        <v>14</v>
      </c>
      <c r="O47" s="10">
        <v>17.829999999999998</v>
      </c>
      <c r="P47" s="10">
        <v>7.13</v>
      </c>
      <c r="Q47" s="11">
        <f t="shared" si="42"/>
        <v>60.011217049915878</v>
      </c>
      <c r="R47" s="40">
        <f t="shared" ref="R47:R48" si="51">((100-Q47)/100)*0.002*10</f>
        <v>7.9977565900168253E-3</v>
      </c>
      <c r="S47" s="40"/>
      <c r="T47" s="11">
        <f t="shared" ref="T47:T48" si="52">R47/$S$36</f>
        <v>0.78334628267994888</v>
      </c>
      <c r="U47" s="11"/>
      <c r="V47" s="11"/>
      <c r="W47" s="10"/>
      <c r="X47" s="10"/>
      <c r="Y47" s="18">
        <f>Q47-$Q$37</f>
        <v>15.783972089622658</v>
      </c>
      <c r="Z47" s="18">
        <f>AVERAGE(Y46:Y48)</f>
        <v>16.780578766428285</v>
      </c>
      <c r="AA47">
        <f>_xlfn.STDEV.P(Y46:Y48)</f>
        <v>1.5859889537244085</v>
      </c>
    </row>
    <row r="48" spans="1:37" x14ac:dyDescent="0.3">
      <c r="A48" t="s">
        <v>33</v>
      </c>
      <c r="B48" s="2">
        <v>6.68</v>
      </c>
      <c r="C48" s="2">
        <v>14.33</v>
      </c>
      <c r="D48" s="2">
        <f t="shared" si="50"/>
        <v>7.6500000000000005E-3</v>
      </c>
      <c r="E48" s="2">
        <f t="shared" si="44"/>
        <v>2E-3</v>
      </c>
      <c r="F48" s="2">
        <v>6.8949999999999996</v>
      </c>
      <c r="G48" s="2">
        <v>10</v>
      </c>
      <c r="H48" s="3">
        <f>(D48/(E48*(G48/60)))</f>
        <v>22.950000000000003</v>
      </c>
      <c r="I48" s="3"/>
      <c r="J48" s="2"/>
      <c r="K48">
        <f t="shared" si="47"/>
        <v>3.3284989122552582</v>
      </c>
      <c r="L48" s="3"/>
      <c r="M48" s="2"/>
      <c r="N48" s="10" t="s">
        <v>33</v>
      </c>
      <c r="O48" s="10">
        <v>17.829999999999998</v>
      </c>
      <c r="P48" s="10">
        <v>6.27</v>
      </c>
      <c r="Q48" s="11">
        <f t="shared" si="42"/>
        <v>64.834548513740884</v>
      </c>
      <c r="R48" s="40">
        <f t="shared" si="51"/>
        <v>7.0330902972518235E-3</v>
      </c>
      <c r="S48" s="40"/>
      <c r="T48" s="11">
        <f t="shared" si="52"/>
        <v>0.68886131730761291</v>
      </c>
      <c r="U48" s="11"/>
      <c r="V48" s="11"/>
      <c r="W48" s="10"/>
      <c r="X48" s="10"/>
      <c r="Y48" s="18">
        <f>Q48-$Q$38</f>
        <v>19.019032325591823</v>
      </c>
    </row>
    <row r="49" spans="1:27" x14ac:dyDescent="0.3">
      <c r="A49" t="s">
        <v>15</v>
      </c>
      <c r="B49" s="2">
        <v>6.67</v>
      </c>
      <c r="C49" s="2">
        <v>11.55</v>
      </c>
      <c r="D49" s="2">
        <f t="shared" si="50"/>
        <v>4.8800000000000007E-3</v>
      </c>
      <c r="E49" s="2">
        <f t="shared" si="44"/>
        <v>2E-3</v>
      </c>
      <c r="F49" s="2">
        <v>6.8949999999999996</v>
      </c>
      <c r="G49" s="2">
        <v>10</v>
      </c>
      <c r="H49" s="3">
        <f t="shared" ref="H49:H51" si="53">(D49/(E49*(G49/60)))</f>
        <v>14.640000000000002</v>
      </c>
      <c r="I49" s="3">
        <f>AVERAGE(H49:H51)</f>
        <v>9.92</v>
      </c>
      <c r="J49" s="2">
        <f>_xlfn.STDEV.P(H49:H51)</f>
        <v>7.0172359230682861</v>
      </c>
      <c r="K49">
        <f>H49/F49</f>
        <v>2.1232777374909357</v>
      </c>
      <c r="L49" s="3">
        <f>AVERAGE(K49:K51)</f>
        <v>1.4387237128353878</v>
      </c>
      <c r="M49" s="2">
        <f>_xlfn.STDEV.P(K49:K51)</f>
        <v>1.0177281976893815</v>
      </c>
      <c r="N49" s="10" t="s">
        <v>15</v>
      </c>
      <c r="O49" s="10">
        <v>19.98</v>
      </c>
      <c r="P49" s="10">
        <v>8.35</v>
      </c>
      <c r="Q49" s="11">
        <f t="shared" si="42"/>
        <v>58.208208208208205</v>
      </c>
      <c r="R49" s="40">
        <f>((100-Q49)/100)*0.002*10</f>
        <v>8.3583583583583601E-3</v>
      </c>
      <c r="S49" s="40">
        <f>AVERAGE(R49:R51)</f>
        <v>9.0223556890223558E-3</v>
      </c>
      <c r="T49" s="11">
        <f>R49/$S$39</f>
        <v>0.65927361469997148</v>
      </c>
      <c r="U49" s="11">
        <f>AVERAGE(T49:T51)</f>
        <v>0.71164704756436026</v>
      </c>
      <c r="V49" s="11">
        <f>_xlfn.STDEV.P(T49:T51)</f>
        <v>4.319891912816818E-2</v>
      </c>
      <c r="W49" s="11">
        <f>AVERAGE(Q49:Q51)</f>
        <v>54.888221554888219</v>
      </c>
      <c r="X49" s="11">
        <f>_xlfn.STDEV.P(Q49:Q51)</f>
        <v>2.7384081412941987</v>
      </c>
      <c r="Y49" s="18">
        <f>Q49-$Q$39</f>
        <v>16.439166439166435</v>
      </c>
    </row>
    <row r="50" spans="1:27" x14ac:dyDescent="0.3">
      <c r="A50" t="s">
        <v>16</v>
      </c>
      <c r="B50" s="2">
        <v>6.65</v>
      </c>
      <c r="C50" s="2">
        <v>11.69</v>
      </c>
      <c r="D50" s="2">
        <f t="shared" si="50"/>
        <v>5.0399999999999993E-3</v>
      </c>
      <c r="E50" s="2">
        <f t="shared" si="44"/>
        <v>2E-3</v>
      </c>
      <c r="F50" s="2">
        <v>6.8949999999999996</v>
      </c>
      <c r="G50" s="2">
        <v>10</v>
      </c>
      <c r="H50" s="3">
        <f t="shared" si="53"/>
        <v>15.12</v>
      </c>
      <c r="I50" s="3"/>
      <c r="J50" s="2"/>
      <c r="K50">
        <f t="shared" si="47"/>
        <v>2.1928934010152283</v>
      </c>
      <c r="N50" s="10" t="s">
        <v>16</v>
      </c>
      <c r="O50" s="10">
        <v>19.98</v>
      </c>
      <c r="P50" s="10">
        <v>9.69</v>
      </c>
      <c r="Q50" s="11">
        <f t="shared" si="42"/>
        <v>51.501501501501501</v>
      </c>
      <c r="R50" s="40">
        <f t="shared" ref="R50:R51" si="54">((100-Q50)/100)*0.002*10</f>
        <v>9.6996996996997001E-3</v>
      </c>
      <c r="S50" s="40"/>
      <c r="T50" s="11">
        <f t="shared" ref="T50:T51" si="55">R50/$S$39</f>
        <v>0.76507321274763151</v>
      </c>
      <c r="U50" s="11"/>
      <c r="V50" s="11"/>
      <c r="W50" s="10"/>
      <c r="X50" s="10"/>
      <c r="Y50" s="18">
        <f>Q50-$Q$40</f>
        <v>22.017472017472016</v>
      </c>
      <c r="Z50" s="18">
        <f>AVERAGE(Y49:Y51)</f>
        <v>18.27888494555161</v>
      </c>
      <c r="AA50">
        <f>_xlfn.STDEV.P(Y49:Y51)</f>
        <v>2.6436905584330535</v>
      </c>
    </row>
    <row r="51" spans="1:27" x14ac:dyDescent="0.3">
      <c r="A51" t="s">
        <v>34</v>
      </c>
      <c r="B51" s="2"/>
      <c r="C51" s="2"/>
      <c r="D51" s="2">
        <f t="shared" si="50"/>
        <v>0</v>
      </c>
      <c r="E51" s="2">
        <f t="shared" si="44"/>
        <v>2E-3</v>
      </c>
      <c r="F51" s="2">
        <v>6.8949999999999996</v>
      </c>
      <c r="G51" s="2">
        <v>10</v>
      </c>
      <c r="H51" s="3">
        <f t="shared" si="53"/>
        <v>0</v>
      </c>
      <c r="I51" s="3"/>
      <c r="J51" s="2"/>
      <c r="K51">
        <f t="shared" si="47"/>
        <v>0</v>
      </c>
      <c r="N51" s="10" t="s">
        <v>34</v>
      </c>
      <c r="O51" s="10">
        <v>19.98</v>
      </c>
      <c r="P51" s="10">
        <v>9</v>
      </c>
      <c r="Q51" s="11">
        <f t="shared" si="42"/>
        <v>54.954954954954957</v>
      </c>
      <c r="R51" s="40">
        <f t="shared" si="54"/>
        <v>9.0090090090090089E-3</v>
      </c>
      <c r="S51" s="40"/>
      <c r="T51" s="11">
        <f t="shared" si="55"/>
        <v>0.71059431524547811</v>
      </c>
      <c r="U51" s="11"/>
      <c r="V51" s="11"/>
      <c r="W51" s="10"/>
      <c r="X51" s="10"/>
      <c r="Y51" s="18">
        <f>Q51-$Q$41</f>
        <v>16.380016380016379</v>
      </c>
    </row>
    <row r="52" spans="1:27" x14ac:dyDescent="0.3">
      <c r="A52" t="s">
        <v>21</v>
      </c>
      <c r="N52" s="12" t="s">
        <v>21</v>
      </c>
      <c r="O52" s="12">
        <v>0</v>
      </c>
      <c r="P52" s="12">
        <v>0</v>
      </c>
      <c r="Q52" s="13" t="e">
        <f>(O52-P52)*100/O52</f>
        <v>#DIV/0!</v>
      </c>
      <c r="R52" s="13"/>
      <c r="S52" s="13"/>
      <c r="T52" s="13"/>
      <c r="U52" s="13"/>
      <c r="V52" s="13"/>
      <c r="W52" s="12"/>
      <c r="X52" s="12"/>
    </row>
    <row r="53" spans="1:27" x14ac:dyDescent="0.3">
      <c r="A53" t="s">
        <v>11</v>
      </c>
      <c r="B53" s="2">
        <v>6.69</v>
      </c>
      <c r="C53" s="2">
        <v>10.88</v>
      </c>
      <c r="D53" s="2">
        <f>(C53-B53)/1000</f>
        <v>4.1900000000000001E-3</v>
      </c>
      <c r="E53" s="2">
        <f>20/(100^2)</f>
        <v>2E-3</v>
      </c>
      <c r="F53" s="2">
        <f>6.895*1.5</f>
        <v>10.342499999999999</v>
      </c>
      <c r="G53" s="2">
        <v>10</v>
      </c>
      <c r="H53" s="3">
        <f>(D53/(E53*(G53/60)))</f>
        <v>12.57</v>
      </c>
      <c r="I53" s="3">
        <f>AVERAGE(H53:H55)</f>
        <v>18.89</v>
      </c>
      <c r="J53" s="2">
        <f>_xlfn.STDEV.P(H53:H55)</f>
        <v>5.9278832647075612</v>
      </c>
      <c r="K53">
        <f>H53/F53</f>
        <v>1.2153734590282814</v>
      </c>
      <c r="L53" s="3">
        <f>AVERAGE(K53:K55)</f>
        <v>1.8264442832970753</v>
      </c>
      <c r="M53" s="2">
        <f>_xlfn.STDEV.P(K53:K55)</f>
        <v>0.57315767606551316</v>
      </c>
      <c r="N53" s="12" t="s">
        <v>11</v>
      </c>
      <c r="O53" s="12">
        <v>17.489999999999998</v>
      </c>
      <c r="P53" s="12">
        <v>3.15</v>
      </c>
      <c r="Q53" s="13">
        <f t="shared" ref="Q53:Q61" si="56">(O53-P53)*100/O53</f>
        <v>81.989708404802741</v>
      </c>
      <c r="R53" s="39">
        <f>((100-Q53)/100)*0.002*10</f>
        <v>3.602058319039452E-3</v>
      </c>
      <c r="S53" s="39">
        <f>AVERAGE(R53:R55)</f>
        <v>3.7583380979607415E-3</v>
      </c>
      <c r="T53" s="13">
        <f>R53/$S$33</f>
        <v>0.45648687704128393</v>
      </c>
      <c r="U53" s="13">
        <f>AVERAGE(T53:T55)</f>
        <v>0.47629212779122332</v>
      </c>
      <c r="V53" s="13">
        <f>_xlfn.STDEV.P(T53:T55)</f>
        <v>1.498249096874972E-2</v>
      </c>
      <c r="W53" s="13">
        <f>AVERAGE(Q53:Q55)</f>
        <v>81.208309510196287</v>
      </c>
      <c r="X53" s="13">
        <f>_xlfn.STDEV.P(Q53:Q55)</f>
        <v>0.59112111375150889</v>
      </c>
      <c r="Y53" s="18">
        <f>Q53-$Q$33</f>
        <v>19.038755830826254</v>
      </c>
    </row>
    <row r="54" spans="1:27" x14ac:dyDescent="0.3">
      <c r="A54" t="s">
        <v>12</v>
      </c>
      <c r="B54" s="2">
        <v>6.64</v>
      </c>
      <c r="C54" s="2">
        <v>12.4</v>
      </c>
      <c r="D54" s="2">
        <f t="shared" ref="D54:D55" si="57">(C54-B54)/1000</f>
        <v>5.7600000000000004E-3</v>
      </c>
      <c r="E54" s="2">
        <f t="shared" ref="E54:E61" si="58">20/(100^2)</f>
        <v>2E-3</v>
      </c>
      <c r="F54" s="2">
        <f t="shared" ref="F54:F55" si="59">6.895*1.5</f>
        <v>10.342499999999999</v>
      </c>
      <c r="G54" s="2">
        <v>10</v>
      </c>
      <c r="H54" s="3">
        <f t="shared" ref="H54:H56" si="60">(D54/(E54*(G54/60)))</f>
        <v>17.28</v>
      </c>
      <c r="I54" s="3"/>
      <c r="J54" s="3"/>
      <c r="K54">
        <f t="shared" ref="K54:K61" si="61">H54/F54</f>
        <v>1.6707759245830314</v>
      </c>
      <c r="L54" s="3"/>
      <c r="M54" s="3"/>
      <c r="N54" s="12" t="s">
        <v>12</v>
      </c>
      <c r="O54" s="12">
        <v>17.489999999999998</v>
      </c>
      <c r="P54" s="12">
        <v>3.31</v>
      </c>
      <c r="Q54" s="13">
        <f t="shared" si="56"/>
        <v>81.074899942824459</v>
      </c>
      <c r="R54" s="39">
        <f t="shared" ref="R54:R55" si="62">((100-Q54)/100)*0.002*10</f>
        <v>3.7850200114351086E-3</v>
      </c>
      <c r="S54" s="39"/>
      <c r="T54" s="13">
        <f t="shared" ref="T54:T55" si="63">R54/$S$33</f>
        <v>0.47967351206560338</v>
      </c>
      <c r="U54" s="13"/>
      <c r="V54" s="13"/>
      <c r="W54" s="13"/>
      <c r="X54" s="13"/>
      <c r="Y54" s="18">
        <f>Q54-$Q$34</f>
        <v>21.974778337635968</v>
      </c>
      <c r="Z54" s="18">
        <f>AVERAGE(Y53:Y55)</f>
        <v>20.662437330761087</v>
      </c>
      <c r="AA54">
        <f>_xlfn.STDEV.P(Y53:Y55)</f>
        <v>1.2186759802034908</v>
      </c>
    </row>
    <row r="55" spans="1:27" x14ac:dyDescent="0.3">
      <c r="A55" t="s">
        <v>32</v>
      </c>
      <c r="B55" s="2">
        <v>6.68</v>
      </c>
      <c r="C55" s="2">
        <v>15.62</v>
      </c>
      <c r="D55" s="2">
        <f t="shared" si="57"/>
        <v>8.94E-3</v>
      </c>
      <c r="E55" s="2">
        <f t="shared" si="58"/>
        <v>2E-3</v>
      </c>
      <c r="F55" s="2">
        <f t="shared" si="59"/>
        <v>10.342499999999999</v>
      </c>
      <c r="G55" s="2">
        <v>10</v>
      </c>
      <c r="H55" s="3">
        <f t="shared" si="60"/>
        <v>26.82</v>
      </c>
      <c r="I55" s="3"/>
      <c r="J55" s="3"/>
      <c r="K55">
        <f t="shared" si="61"/>
        <v>2.5931834662799131</v>
      </c>
      <c r="L55" s="3"/>
      <c r="M55" s="3"/>
      <c r="N55" s="12" t="s">
        <v>32</v>
      </c>
      <c r="O55" s="12">
        <v>17.489999999999998</v>
      </c>
      <c r="P55" s="12">
        <v>3.4</v>
      </c>
      <c r="Q55" s="13">
        <f t="shared" si="56"/>
        <v>80.560320182961689</v>
      </c>
      <c r="R55" s="39">
        <f t="shared" si="62"/>
        <v>3.8879359634076622E-3</v>
      </c>
      <c r="S55" s="39"/>
      <c r="T55" s="13">
        <f t="shared" si="63"/>
        <v>0.49271599426678264</v>
      </c>
      <c r="U55" s="13"/>
      <c r="V55" s="13"/>
      <c r="W55" s="13"/>
      <c r="X55" s="13"/>
      <c r="Y55" s="18">
        <f>Q55-$Q$35</f>
        <v>20.973777823821038</v>
      </c>
    </row>
    <row r="56" spans="1:27" x14ac:dyDescent="0.3">
      <c r="A56" t="s">
        <v>13</v>
      </c>
      <c r="B56" s="2">
        <v>6.68</v>
      </c>
      <c r="C56" s="2">
        <v>12.13</v>
      </c>
      <c r="D56" s="2">
        <f>(C56-B56)/1000</f>
        <v>5.4500000000000009E-3</v>
      </c>
      <c r="E56" s="2">
        <f t="shared" si="58"/>
        <v>2E-3</v>
      </c>
      <c r="F56" s="2">
        <v>6.8949999999999996</v>
      </c>
      <c r="G56" s="2">
        <v>10</v>
      </c>
      <c r="H56" s="3">
        <f t="shared" si="60"/>
        <v>16.350000000000001</v>
      </c>
      <c r="I56" s="3">
        <f>AVERAGE(H56:H58)</f>
        <v>21.64</v>
      </c>
      <c r="J56" s="2">
        <f>_xlfn.STDEV.P(H56:H58)</f>
        <v>3.9398223310195268</v>
      </c>
      <c r="K56">
        <f>H56/F56</f>
        <v>2.3712835387962294</v>
      </c>
      <c r="L56" s="3">
        <f>AVERAGE(K56:K58)</f>
        <v>3.1385061638868752</v>
      </c>
      <c r="M56" s="2">
        <f>_xlfn.STDEV.P(K56:K58)</f>
        <v>0.57140280362864537</v>
      </c>
      <c r="N56" s="12" t="s">
        <v>13</v>
      </c>
      <c r="O56" s="12">
        <v>18.16</v>
      </c>
      <c r="P56" s="12">
        <v>2.94</v>
      </c>
      <c r="Q56" s="13">
        <f t="shared" si="56"/>
        <v>83.810572687224663</v>
      </c>
      <c r="R56" s="39">
        <f>((100-Q56)/100)*0.002*10</f>
        <v>3.2378854625550674E-3</v>
      </c>
      <c r="S56" s="39">
        <f>AVERAGE(R56:R58)</f>
        <v>4.4052863436123343E-3</v>
      </c>
      <c r="T56" s="13">
        <f>R56/$S$36</f>
        <v>0.31713712617885798</v>
      </c>
      <c r="U56" s="13">
        <f>AVERAGE(T56:T58)</f>
        <v>0.43147908323654133</v>
      </c>
      <c r="V56" s="13">
        <f>_xlfn.STDEV.P(T56:T58)</f>
        <v>9.3803294681097854E-2</v>
      </c>
      <c r="W56" s="13">
        <f>AVERAGE(Q56:Q58)</f>
        <v>77.973568281938327</v>
      </c>
      <c r="X56" s="13">
        <f>_xlfn.STDEV.P(Q56:Q58)</f>
        <v>4.7885330842091731</v>
      </c>
      <c r="Y56" s="18">
        <f>Q56-$Q$36</f>
        <v>26.999332613919833</v>
      </c>
    </row>
    <row r="57" spans="1:27" x14ac:dyDescent="0.3">
      <c r="A57" t="s">
        <v>14</v>
      </c>
      <c r="B57" s="2">
        <v>6.64</v>
      </c>
      <c r="C57" s="2">
        <v>15.24</v>
      </c>
      <c r="D57" s="2">
        <f t="shared" ref="D57:D61" si="64">(C57-B57)/1000</f>
        <v>8.6000000000000017E-3</v>
      </c>
      <c r="E57" s="2">
        <f t="shared" si="58"/>
        <v>2E-3</v>
      </c>
      <c r="F57" s="2">
        <v>6.8949999999999996</v>
      </c>
      <c r="G57" s="2">
        <v>10</v>
      </c>
      <c r="H57" s="3">
        <f>(D57/(E57*(G57/60)))</f>
        <v>25.800000000000008</v>
      </c>
      <c r="I57" s="3"/>
      <c r="J57" s="2"/>
      <c r="K57">
        <f t="shared" si="61"/>
        <v>3.7418419144307484</v>
      </c>
      <c r="L57" s="3"/>
      <c r="M57" s="2"/>
      <c r="N57" s="12" t="s">
        <v>14</v>
      </c>
      <c r="O57" s="12">
        <v>18.16</v>
      </c>
      <c r="P57" s="12">
        <v>5.07</v>
      </c>
      <c r="Q57" s="13">
        <f t="shared" si="56"/>
        <v>72.081497797356832</v>
      </c>
      <c r="R57" s="39">
        <f t="shared" ref="R57:R58" si="65">((100-Q57)/100)*0.002*10</f>
        <v>5.5837004405286349E-3</v>
      </c>
      <c r="S57" s="39"/>
      <c r="T57" s="13">
        <f t="shared" ref="T57:T58" si="66">R57/$S$36</f>
        <v>0.54689973800231617</v>
      </c>
      <c r="U57" s="13"/>
      <c r="V57" s="13"/>
      <c r="W57" s="12"/>
      <c r="X57" s="12"/>
      <c r="Y57" s="18">
        <f>Q57-$Q$37</f>
        <v>27.854252837063612</v>
      </c>
      <c r="Z57" s="18">
        <f>AVERAGE(Y56:Y58)</f>
        <v>29.022234541355957</v>
      </c>
      <c r="AA57">
        <f>_xlfn.STDEV.P(Y56:Y58)</f>
        <v>2.2831302941954563</v>
      </c>
    </row>
    <row r="58" spans="1:27" x14ac:dyDescent="0.3">
      <c r="A58" t="s">
        <v>33</v>
      </c>
      <c r="B58" s="2">
        <v>6.67</v>
      </c>
      <c r="C58" s="2">
        <v>14.26</v>
      </c>
      <c r="D58" s="2">
        <f t="shared" si="64"/>
        <v>7.5899999999999995E-3</v>
      </c>
      <c r="E58" s="2">
        <f t="shared" si="58"/>
        <v>2E-3</v>
      </c>
      <c r="F58" s="2">
        <v>6.8949999999999996</v>
      </c>
      <c r="G58" s="2">
        <v>10</v>
      </c>
      <c r="H58" s="3">
        <f>(D58/(E58*(G58/60)))</f>
        <v>22.77</v>
      </c>
      <c r="I58" s="3"/>
      <c r="J58" s="2"/>
      <c r="K58">
        <f t="shared" si="61"/>
        <v>3.3023930384336477</v>
      </c>
      <c r="L58" s="3"/>
      <c r="M58" s="2"/>
      <c r="N58" s="12" t="s">
        <v>33</v>
      </c>
      <c r="O58" s="12">
        <v>18.16</v>
      </c>
      <c r="P58" s="12">
        <v>3.99</v>
      </c>
      <c r="Q58" s="13">
        <f t="shared" si="56"/>
        <v>78.028634361233486</v>
      </c>
      <c r="R58" s="39">
        <f t="shared" si="65"/>
        <v>4.3942731277533025E-3</v>
      </c>
      <c r="S58" s="39"/>
      <c r="T58" s="13">
        <f t="shared" si="66"/>
        <v>0.43040038552844978</v>
      </c>
      <c r="U58" s="13"/>
      <c r="V58" s="13"/>
      <c r="W58" s="12"/>
      <c r="X58" s="12"/>
      <c r="Y58" s="18">
        <f>Q58-$Q$38</f>
        <v>32.213118173084425</v>
      </c>
    </row>
    <row r="59" spans="1:27" x14ac:dyDescent="0.3">
      <c r="A59" t="s">
        <v>15</v>
      </c>
      <c r="B59" s="2">
        <v>6.66</v>
      </c>
      <c r="C59" s="2">
        <v>11.56</v>
      </c>
      <c r="D59" s="2">
        <f t="shared" si="64"/>
        <v>4.9000000000000007E-3</v>
      </c>
      <c r="E59" s="2">
        <f t="shared" si="58"/>
        <v>2E-3</v>
      </c>
      <c r="F59" s="2">
        <v>6.8949999999999996</v>
      </c>
      <c r="G59" s="2">
        <v>10</v>
      </c>
      <c r="H59" s="3">
        <f t="shared" ref="H59:H61" si="67">(D59/(E59*(G59/60)))</f>
        <v>14.700000000000003</v>
      </c>
      <c r="I59" s="3">
        <f>AVERAGE(H59:H61)</f>
        <v>10.120000000000003</v>
      </c>
      <c r="J59" s="2">
        <f>_xlfn.STDEV.P(H59:H61)</f>
        <v>7.1666449612074414</v>
      </c>
      <c r="K59">
        <f>H59/F59</f>
        <v>2.1319796954314727</v>
      </c>
      <c r="L59" s="3">
        <f>AVERAGE(K59:K61)</f>
        <v>1.4677302393038438</v>
      </c>
      <c r="M59" s="2">
        <f>_xlfn.STDEV.P(K59:K61)</f>
        <v>1.0393973837864308</v>
      </c>
      <c r="N59" s="12" t="s">
        <v>15</v>
      </c>
      <c r="O59" s="12">
        <v>20.23</v>
      </c>
      <c r="P59" s="12">
        <v>5.09</v>
      </c>
      <c r="Q59" s="13">
        <f t="shared" si="56"/>
        <v>74.839347503707359</v>
      </c>
      <c r="R59" s="39">
        <f>((100-Q59)/100)*0.002*10</f>
        <v>5.0321304992585279E-3</v>
      </c>
      <c r="S59" s="39">
        <f>AVERAGE(R59:R61)</f>
        <v>5.5725819739660563E-3</v>
      </c>
      <c r="T59" s="13">
        <f>R59/$S$39</f>
        <v>0.39691416922446143</v>
      </c>
      <c r="U59" s="13">
        <f>AVERAGE(T59:T61)</f>
        <v>0.43954280298530723</v>
      </c>
      <c r="V59" s="13">
        <f>_xlfn.STDEV.P(T59:T61)</f>
        <v>3.9875435599837451E-2</v>
      </c>
      <c r="W59" s="13">
        <f>AVERAGE(Q59:Q61)</f>
        <v>72.13709013016971</v>
      </c>
      <c r="X59" s="13">
        <f>_xlfn.STDEV.P(Q59:Q61)</f>
        <v>2.5277303156653721</v>
      </c>
      <c r="Y59" s="18">
        <f>Q59-$Q$39</f>
        <v>33.070305734665588</v>
      </c>
    </row>
    <row r="60" spans="1:27" x14ac:dyDescent="0.3">
      <c r="A60" t="s">
        <v>16</v>
      </c>
      <c r="B60" s="2">
        <v>6.66</v>
      </c>
      <c r="C60" s="2">
        <v>11.88</v>
      </c>
      <c r="D60" s="2">
        <f t="shared" si="64"/>
        <v>5.2200000000000007E-3</v>
      </c>
      <c r="E60" s="2">
        <f t="shared" si="58"/>
        <v>2E-3</v>
      </c>
      <c r="F60" s="2">
        <v>6.8949999999999996</v>
      </c>
      <c r="G60" s="2">
        <v>10</v>
      </c>
      <c r="H60" s="3">
        <f t="shared" si="67"/>
        <v>15.660000000000002</v>
      </c>
      <c r="I60" s="3"/>
      <c r="J60" s="2"/>
      <c r="K60">
        <f t="shared" si="61"/>
        <v>2.2712110224800584</v>
      </c>
      <c r="N60" s="12" t="s">
        <v>16</v>
      </c>
      <c r="O60" s="12">
        <v>20.23</v>
      </c>
      <c r="P60" s="12">
        <v>6.32</v>
      </c>
      <c r="Q60" s="13">
        <f t="shared" si="56"/>
        <v>68.759268413247653</v>
      </c>
      <c r="R60" s="39">
        <f t="shared" ref="R60:R61" si="68">((100-Q60)/100)*0.002*10</f>
        <v>6.2481463173504684E-3</v>
      </c>
      <c r="S60" s="39"/>
      <c r="T60" s="13">
        <f t="shared" ref="T60:T61" si="69">R60/$S$39</f>
        <v>0.49282859518636452</v>
      </c>
      <c r="U60" s="13"/>
      <c r="V60" s="13"/>
      <c r="W60" s="12"/>
      <c r="X60" s="12"/>
      <c r="Y60" s="18">
        <f>Q60-$Q$40</f>
        <v>39.275238929218169</v>
      </c>
      <c r="Z60" s="18">
        <f>AVERAGE(Y59:Y61)</f>
        <v>35.527753520833102</v>
      </c>
      <c r="AA60">
        <f>_xlfn.STDEV.P(Y59:Y61)</f>
        <v>2.6923901137920381</v>
      </c>
    </row>
    <row r="61" spans="1:27" x14ac:dyDescent="0.3">
      <c r="A61" t="s">
        <v>34</v>
      </c>
      <c r="B61" s="2"/>
      <c r="C61" s="2"/>
      <c r="D61" s="2">
        <f t="shared" si="64"/>
        <v>0</v>
      </c>
      <c r="E61" s="2">
        <f t="shared" si="58"/>
        <v>2E-3</v>
      </c>
      <c r="F61" s="2">
        <v>6.8949999999999996</v>
      </c>
      <c r="G61" s="2">
        <v>10</v>
      </c>
      <c r="H61" s="3">
        <f t="shared" si="67"/>
        <v>0</v>
      </c>
      <c r="I61" s="3"/>
      <c r="J61" s="2"/>
      <c r="K61">
        <f t="shared" si="61"/>
        <v>0</v>
      </c>
      <c r="N61" s="12" t="s">
        <v>34</v>
      </c>
      <c r="O61" s="12">
        <v>20.23</v>
      </c>
      <c r="P61" s="12">
        <v>5.5</v>
      </c>
      <c r="Q61" s="13">
        <f t="shared" si="56"/>
        <v>72.812654473554133</v>
      </c>
      <c r="R61" s="39">
        <f t="shared" si="68"/>
        <v>5.4374691052891735E-3</v>
      </c>
      <c r="S61" s="39"/>
      <c r="T61" s="13">
        <f t="shared" si="69"/>
        <v>0.4288856445450957</v>
      </c>
      <c r="U61" s="13"/>
      <c r="V61" s="13"/>
      <c r="W61" s="12"/>
      <c r="X61" s="12"/>
      <c r="Y61" s="18">
        <f>Q61-$Q$41</f>
        <v>34.237715898615555</v>
      </c>
    </row>
    <row r="62" spans="1:27" x14ac:dyDescent="0.3">
      <c r="A62" t="s">
        <v>22</v>
      </c>
      <c r="N62" s="14" t="s">
        <v>22</v>
      </c>
      <c r="O62" s="14">
        <v>0</v>
      </c>
      <c r="P62" s="14">
        <v>0</v>
      </c>
      <c r="Q62" s="15" t="e">
        <f>(O62-P62)*100/O62</f>
        <v>#DIV/0!</v>
      </c>
      <c r="R62" s="15"/>
      <c r="S62" s="15"/>
      <c r="T62" s="15"/>
      <c r="U62" s="15"/>
      <c r="V62" s="15"/>
      <c r="W62" s="14"/>
      <c r="X62" s="14"/>
    </row>
    <row r="63" spans="1:27" x14ac:dyDescent="0.3">
      <c r="A63" t="s">
        <v>11</v>
      </c>
      <c r="B63" s="2">
        <v>6.67</v>
      </c>
      <c r="C63" s="2">
        <v>10.72</v>
      </c>
      <c r="D63" s="2">
        <f>(C63-B63)/1000</f>
        <v>4.0500000000000006E-3</v>
      </c>
      <c r="E63" s="2">
        <f>20/(100^2)</f>
        <v>2E-3</v>
      </c>
      <c r="F63" s="2">
        <f>6.895*1.5</f>
        <v>10.342499999999999</v>
      </c>
      <c r="G63" s="2">
        <v>10</v>
      </c>
      <c r="H63" s="3">
        <f>(D63/(E63*(G63/60)))</f>
        <v>12.150000000000002</v>
      </c>
      <c r="I63" s="3">
        <f>AVERAGE(H63:H65)</f>
        <v>18.220000000000002</v>
      </c>
      <c r="J63" s="2">
        <f>_xlfn.STDEV.P(H63:H65)</f>
        <v>5.8040158511154925</v>
      </c>
      <c r="K63">
        <f>H63/F63</f>
        <v>1.1747643219724442</v>
      </c>
      <c r="L63" s="3">
        <f>AVERAGE(K63:K65)</f>
        <v>1.7616630408508585</v>
      </c>
      <c r="M63" s="2">
        <f>_xlfn.STDEV.P(K63:K65)</f>
        <v>0.56118113136238867</v>
      </c>
      <c r="N63" s="14" t="s">
        <v>11</v>
      </c>
      <c r="O63" s="14">
        <v>18.23</v>
      </c>
      <c r="P63" s="14">
        <v>2.25</v>
      </c>
      <c r="Q63" s="15">
        <f t="shared" ref="Q63:Q71" si="70">(O63-P63)*100/O63</f>
        <v>87.657707076247945</v>
      </c>
      <c r="R63" s="38">
        <f>((100-Q63)/100)*0.002*10</f>
        <v>2.4684585847504111E-3</v>
      </c>
      <c r="S63" s="38">
        <f>AVERAGE(R63:R65)</f>
        <v>2.9877491314682764E-3</v>
      </c>
      <c r="T63" s="15">
        <f>R63/$S$33</f>
        <v>0.31282640386537314</v>
      </c>
      <c r="U63" s="15">
        <f>AVERAGE(T63:T65)</f>
        <v>0.37863581030816285</v>
      </c>
      <c r="V63" s="15">
        <f>_xlfn.STDEV.P(T63:T65)</f>
        <v>5.1777576441734155E-2</v>
      </c>
      <c r="W63" s="15">
        <f>AVERAGE(Q63:Q65)</f>
        <v>85.061254342658614</v>
      </c>
      <c r="X63" s="15">
        <f>_xlfn.STDEV.P(Q63:Q65)</f>
        <v>2.0428391191712305</v>
      </c>
      <c r="Y63" s="18">
        <f>Q63-$Q$33</f>
        <v>24.706754502271458</v>
      </c>
    </row>
    <row r="64" spans="1:27" x14ac:dyDescent="0.3">
      <c r="A64" t="s">
        <v>12</v>
      </c>
      <c r="B64" s="2">
        <v>6.68</v>
      </c>
      <c r="C64" s="2">
        <v>12.17</v>
      </c>
      <c r="D64" s="2">
        <f>(C64-B64)/1000</f>
        <v>5.4900000000000001E-3</v>
      </c>
      <c r="E64" s="2">
        <f t="shared" ref="E64:E71" si="71">20/(100^2)</f>
        <v>2E-3</v>
      </c>
      <c r="F64" s="2">
        <f t="shared" ref="F64:F65" si="72">6.895*1.5</f>
        <v>10.342499999999999</v>
      </c>
      <c r="G64" s="2">
        <v>10</v>
      </c>
      <c r="H64" s="3">
        <f>(D64/(E64*(G64/60)))</f>
        <v>16.470000000000002</v>
      </c>
      <c r="I64" s="3"/>
      <c r="J64" s="3"/>
      <c r="K64">
        <f>H64/F64</f>
        <v>1.592458303118202</v>
      </c>
      <c r="L64" s="3"/>
      <c r="M64" s="3"/>
      <c r="N64" s="14" t="s">
        <v>12</v>
      </c>
      <c r="O64" s="14">
        <v>18.23</v>
      </c>
      <c r="P64" s="14">
        <v>2.76</v>
      </c>
      <c r="Q64" s="15">
        <f t="shared" si="70"/>
        <v>84.860120680197468</v>
      </c>
      <c r="R64" s="38">
        <f t="shared" ref="R64:R65" si="73">((100-Q64)/100)*0.002*10</f>
        <v>3.0279758639605065E-3</v>
      </c>
      <c r="S64" s="38"/>
      <c r="T64" s="15">
        <f t="shared" ref="T64:T65" si="74">R64/$S$33</f>
        <v>0.38373372207485801</v>
      </c>
      <c r="U64" s="15"/>
      <c r="V64" s="15"/>
      <c r="W64" s="15"/>
      <c r="X64" s="15"/>
      <c r="Y64" s="18">
        <f>Q64-$Q$34</f>
        <v>25.759999075008977</v>
      </c>
      <c r="Z64" s="18">
        <f>AVERAGE(Y63:Y65)</f>
        <v>24.515382163223411</v>
      </c>
      <c r="AA64">
        <f>_xlfn.STDEV.P(Y63:Y65)</f>
        <v>1.1026875891452752</v>
      </c>
    </row>
    <row r="65" spans="1:38" x14ac:dyDescent="0.3">
      <c r="A65" t="s">
        <v>32</v>
      </c>
      <c r="B65" s="2">
        <v>6.68</v>
      </c>
      <c r="C65" s="2">
        <v>15.36</v>
      </c>
      <c r="D65" s="2">
        <f>(C65-B65)/1000</f>
        <v>8.6800000000000002E-3</v>
      </c>
      <c r="E65" s="2">
        <f t="shared" si="71"/>
        <v>2E-3</v>
      </c>
      <c r="F65" s="2">
        <f t="shared" si="72"/>
        <v>10.342499999999999</v>
      </c>
      <c r="G65" s="2">
        <v>10</v>
      </c>
      <c r="H65" s="3">
        <f>(D65/(E65*(G65/60)))</f>
        <v>26.040000000000003</v>
      </c>
      <c r="I65" s="3"/>
      <c r="J65" s="3"/>
      <c r="K65">
        <f>H65/F65</f>
        <v>2.5177664974619294</v>
      </c>
      <c r="L65" s="3"/>
      <c r="M65" s="3"/>
      <c r="N65" s="14" t="s">
        <v>32</v>
      </c>
      <c r="O65" s="14">
        <v>18.23</v>
      </c>
      <c r="P65" s="14">
        <v>3.16</v>
      </c>
      <c r="Q65" s="15">
        <f t="shared" si="70"/>
        <v>82.665935271530444</v>
      </c>
      <c r="R65" s="38">
        <f t="shared" si="73"/>
        <v>3.4668129456939113E-3</v>
      </c>
      <c r="S65" s="38"/>
      <c r="T65" s="15">
        <f t="shared" si="74"/>
        <v>0.43934730498425745</v>
      </c>
      <c r="U65" s="15"/>
      <c r="V65" s="15"/>
      <c r="W65" s="15"/>
      <c r="X65" s="15"/>
      <c r="Y65" s="18">
        <f>Q65-$Q$35</f>
        <v>23.079392912389793</v>
      </c>
    </row>
    <row r="66" spans="1:38" x14ac:dyDescent="0.3">
      <c r="A66" t="s">
        <v>13</v>
      </c>
      <c r="B66" s="2">
        <v>6.7</v>
      </c>
      <c r="C66" s="2">
        <v>12.41</v>
      </c>
      <c r="D66" s="2">
        <f>(C66-B66)/1000</f>
        <v>5.7099999999999998E-3</v>
      </c>
      <c r="E66" s="2">
        <f t="shared" si="71"/>
        <v>2E-3</v>
      </c>
      <c r="F66" s="2">
        <v>6.8949999999999996</v>
      </c>
      <c r="G66" s="2">
        <v>10</v>
      </c>
      <c r="H66" s="3">
        <f t="shared" ref="H66" si="75">(D66/(E66*(G66/60)))</f>
        <v>17.13</v>
      </c>
      <c r="I66" s="3">
        <f>AVERAGE(H66:H68)</f>
        <v>22.650000000000002</v>
      </c>
      <c r="J66" s="2">
        <f>_xlfn.STDEV.P(H66:H68)</f>
        <v>4.0982679268198137</v>
      </c>
      <c r="K66">
        <f>H66/F66</f>
        <v>2.4844089920232051</v>
      </c>
      <c r="L66" s="3">
        <f>AVERAGE(K66:K68)</f>
        <v>3.2849891225525751</v>
      </c>
      <c r="M66" s="2">
        <f>_xlfn.STDEV.P(K66:K68)</f>
        <v>0.59438258547060341</v>
      </c>
      <c r="N66" s="14" t="s">
        <v>13</v>
      </c>
      <c r="O66" s="14">
        <v>18.7</v>
      </c>
      <c r="P66" s="14">
        <v>2.15</v>
      </c>
      <c r="Q66" s="15">
        <f t="shared" si="70"/>
        <v>88.502673796791441</v>
      </c>
      <c r="R66" s="38">
        <f>((100-Q66)/100)*0.002*10</f>
        <v>2.299465240641712E-3</v>
      </c>
      <c r="S66" s="38">
        <f>AVERAGE(R66:R68)</f>
        <v>3.6078431372549014E-3</v>
      </c>
      <c r="T66" s="15">
        <f>R66/$S$36</f>
        <v>0.22522285195036795</v>
      </c>
      <c r="U66" s="15">
        <f>AVERAGE(T66:T68)</f>
        <v>0.3533729087965462</v>
      </c>
      <c r="V66" s="15">
        <f>_xlfn.STDEV.P(T66:T68)</f>
        <v>0.10698789757822819</v>
      </c>
      <c r="W66" s="15">
        <f>AVERAGE(Q66:Q68)</f>
        <v>81.960784313725483</v>
      </c>
      <c r="X66" s="15">
        <f>_xlfn.STDEV.P(Q66:Q68)</f>
        <v>5.4615894772677187</v>
      </c>
      <c r="Y66" s="18">
        <f>Q66-$Q$36</f>
        <v>31.691433723486611</v>
      </c>
    </row>
    <row r="67" spans="1:38" x14ac:dyDescent="0.3">
      <c r="A67" t="s">
        <v>14</v>
      </c>
      <c r="B67" s="2">
        <v>6.67</v>
      </c>
      <c r="C67" s="2">
        <v>15.65</v>
      </c>
      <c r="D67" s="2">
        <f t="shared" ref="D67:D71" si="76">(C67-B67)/1000</f>
        <v>8.9800000000000001E-3</v>
      </c>
      <c r="E67" s="2">
        <f t="shared" si="71"/>
        <v>2E-3</v>
      </c>
      <c r="F67" s="2">
        <v>6.8949999999999996</v>
      </c>
      <c r="G67" s="2">
        <v>10</v>
      </c>
      <c r="H67" s="3">
        <f>(D67/(E67*(G67/60)))</f>
        <v>26.94</v>
      </c>
      <c r="I67" s="3"/>
      <c r="J67" s="2"/>
      <c r="K67">
        <f t="shared" ref="K67:K70" si="77">H67/F67</f>
        <v>3.9071791153009432</v>
      </c>
      <c r="L67" s="3"/>
      <c r="M67" s="2"/>
      <c r="N67" s="14" t="s">
        <v>14</v>
      </c>
      <c r="O67" s="14">
        <v>18.7</v>
      </c>
      <c r="P67" s="14">
        <v>4.6500000000000004</v>
      </c>
      <c r="Q67" s="15">
        <f t="shared" si="70"/>
        <v>75.133689839572199</v>
      </c>
      <c r="R67" s="38">
        <f t="shared" ref="R67:R68" si="78">((100-Q67)/100)*0.002*10</f>
        <v>4.9732620320855608E-3</v>
      </c>
      <c r="S67" s="38"/>
      <c r="T67" s="15">
        <f t="shared" ref="T67:T68" si="79">R67/$S$36</f>
        <v>0.4871098891019584</v>
      </c>
      <c r="U67" s="15"/>
      <c r="V67" s="15"/>
      <c r="W67" s="14"/>
      <c r="X67" s="14"/>
      <c r="Y67" s="18">
        <f>Q67-$Q$37</f>
        <v>30.906444879278979</v>
      </c>
      <c r="Z67" s="18">
        <f>AVERAGE(Y66:Y68)</f>
        <v>33.00945057314312</v>
      </c>
      <c r="AA67">
        <f>_xlfn.STDEV.P(Y66:Y68)</f>
        <v>2.4401636972192398</v>
      </c>
    </row>
    <row r="68" spans="1:38" x14ac:dyDescent="0.3">
      <c r="A68" t="s">
        <v>33</v>
      </c>
      <c r="B68" s="2">
        <v>6.68</v>
      </c>
      <c r="C68" s="2">
        <v>14.64</v>
      </c>
      <c r="D68" s="2">
        <f t="shared" si="76"/>
        <v>7.9600000000000001E-3</v>
      </c>
      <c r="E68" s="2">
        <f t="shared" si="71"/>
        <v>2E-3</v>
      </c>
      <c r="F68" s="2">
        <v>6.8949999999999996</v>
      </c>
      <c r="G68" s="2">
        <v>10</v>
      </c>
      <c r="H68" s="3">
        <f>(D68/(E68*(G68/60)))</f>
        <v>23.880000000000003</v>
      </c>
      <c r="I68" s="3"/>
      <c r="J68" s="2"/>
      <c r="K68">
        <f t="shared" si="77"/>
        <v>3.4633792603335758</v>
      </c>
      <c r="L68" s="3"/>
      <c r="M68" s="2"/>
      <c r="N68" s="14" t="s">
        <v>33</v>
      </c>
      <c r="O68" s="14">
        <v>18.7</v>
      </c>
      <c r="P68" s="14">
        <v>3.32</v>
      </c>
      <c r="Q68" s="15">
        <f t="shared" si="70"/>
        <v>82.245989304812838</v>
      </c>
      <c r="R68" s="38">
        <f t="shared" si="78"/>
        <v>3.5508021390374322E-3</v>
      </c>
      <c r="S68" s="38"/>
      <c r="T68" s="15">
        <f t="shared" si="79"/>
        <v>0.3477859853373122</v>
      </c>
      <c r="U68" s="15"/>
      <c r="V68" s="15"/>
      <c r="W68" s="14"/>
      <c r="X68" s="14"/>
      <c r="Y68" s="18">
        <f>Q68-$Q$38</f>
        <v>36.430473116663777</v>
      </c>
    </row>
    <row r="69" spans="1:38" x14ac:dyDescent="0.3">
      <c r="A69" t="s">
        <v>15</v>
      </c>
      <c r="B69" s="2">
        <v>6.7</v>
      </c>
      <c r="C69" s="2">
        <v>11.91</v>
      </c>
      <c r="D69" s="2">
        <f t="shared" si="76"/>
        <v>5.2100000000000002E-3</v>
      </c>
      <c r="E69" s="2">
        <f t="shared" si="71"/>
        <v>2E-3</v>
      </c>
      <c r="F69" s="2">
        <v>6.8949999999999996</v>
      </c>
      <c r="G69" s="2">
        <v>10</v>
      </c>
      <c r="H69" s="3">
        <f t="shared" ref="H69:H71" si="80">(D69/(E69*(G69/60)))</f>
        <v>15.63</v>
      </c>
      <c r="I69" s="3">
        <f>AVERAGE(H69:H71)</f>
        <v>11.370000000000003</v>
      </c>
      <c r="J69" s="2">
        <f>_xlfn.STDEV.P(H69:H71)</f>
        <v>8.1235583336368062</v>
      </c>
      <c r="K69">
        <f>H69/F69</f>
        <v>2.2668600435097899</v>
      </c>
      <c r="L69" s="3">
        <f>AVERAGE(K69:K71)</f>
        <v>2.473531544597535</v>
      </c>
      <c r="M69" s="2">
        <f>_xlfn.STDEV.P(K69:K71)</f>
        <v>0.20667150108774512</v>
      </c>
      <c r="N69" s="14" t="s">
        <v>15</v>
      </c>
      <c r="O69" s="14">
        <v>20.5</v>
      </c>
      <c r="P69" s="14">
        <v>4.1100000000000003</v>
      </c>
      <c r="Q69" s="15">
        <f t="shared" si="70"/>
        <v>79.951219512195124</v>
      </c>
      <c r="R69" s="38">
        <f>((100-Q69)/100)*0.002*10</f>
        <v>4.0097560975609755E-3</v>
      </c>
      <c r="S69" s="38">
        <f>AVERAGE(R69:R71)</f>
        <v>4.8975609756097558E-3</v>
      </c>
      <c r="T69" s="15">
        <f>R69/$S$39</f>
        <v>0.31627339761769713</v>
      </c>
      <c r="U69" s="15">
        <f>AVERAGE(T69:T71)</f>
        <v>0.38629986764983931</v>
      </c>
      <c r="V69" s="15">
        <f>_xlfn.STDEV.P(T69:T71)</f>
        <v>5.7814928457265102E-2</v>
      </c>
      <c r="W69" s="15">
        <f>AVERAGE(Q69:Q71)</f>
        <v>75.512195121951223</v>
      </c>
      <c r="X69" s="15">
        <f>_xlfn.STDEV.P(Q69:Q71)</f>
        <v>3.6649266687897875</v>
      </c>
      <c r="Y69" s="18">
        <f>Q69-$Q$39</f>
        <v>38.182177743153353</v>
      </c>
    </row>
    <row r="70" spans="1:38" x14ac:dyDescent="0.3">
      <c r="A70" t="s">
        <v>16</v>
      </c>
      <c r="B70" s="2">
        <v>6.66</v>
      </c>
      <c r="C70" s="2">
        <v>12.82</v>
      </c>
      <c r="D70" s="2">
        <f t="shared" si="76"/>
        <v>6.1600000000000005E-3</v>
      </c>
      <c r="E70" s="2">
        <f t="shared" si="71"/>
        <v>2E-3</v>
      </c>
      <c r="F70" s="2">
        <v>6.8949999999999996</v>
      </c>
      <c r="G70" s="2">
        <v>10</v>
      </c>
      <c r="H70" s="3">
        <f t="shared" si="80"/>
        <v>18.480000000000004</v>
      </c>
      <c r="I70" s="3"/>
      <c r="J70" s="2"/>
      <c r="K70">
        <f t="shared" si="77"/>
        <v>2.6802030456852801</v>
      </c>
      <c r="N70" s="14" t="s">
        <v>16</v>
      </c>
      <c r="O70" s="14">
        <v>20.5</v>
      </c>
      <c r="P70" s="14">
        <v>5.95</v>
      </c>
      <c r="Q70" s="15">
        <f t="shared" si="70"/>
        <v>70.975609756097555</v>
      </c>
      <c r="R70" s="38">
        <f t="shared" ref="R70:R71" si="81">((100-Q70)/100)*0.002*10</f>
        <v>5.8048780487804886E-3</v>
      </c>
      <c r="S70" s="38"/>
      <c r="T70" s="15">
        <f t="shared" ref="T70:T71" si="82">R70/$S$39</f>
        <v>0.45786538097939128</v>
      </c>
      <c r="U70" s="15"/>
      <c r="V70" s="15"/>
      <c r="W70" s="14"/>
      <c r="X70" s="14"/>
      <c r="Y70" s="18">
        <f>Q70-$Q$40</f>
        <v>41.49158027206807</v>
      </c>
      <c r="Z70" s="18">
        <f>AVERAGE(Y69:Y71)</f>
        <v>38.902858512614607</v>
      </c>
      <c r="AA70">
        <f>_xlfn.STDEV.P(Y69:Y71)</f>
        <v>1.8894830209725069</v>
      </c>
    </row>
    <row r="71" spans="1:38" x14ac:dyDescent="0.3">
      <c r="A71" t="s">
        <v>34</v>
      </c>
      <c r="B71" s="2"/>
      <c r="C71" s="2"/>
      <c r="D71" s="2">
        <f t="shared" si="76"/>
        <v>0</v>
      </c>
      <c r="E71" s="2">
        <f t="shared" si="71"/>
        <v>2E-3</v>
      </c>
      <c r="F71" s="2">
        <v>6.8949999999999996</v>
      </c>
      <c r="G71" s="2">
        <v>10</v>
      </c>
      <c r="H71" s="3">
        <f t="shared" si="80"/>
        <v>0</v>
      </c>
      <c r="I71" s="3"/>
      <c r="J71" s="2"/>
      <c r="N71" s="14" t="s">
        <v>34</v>
      </c>
      <c r="O71" s="14">
        <v>20.5</v>
      </c>
      <c r="P71" s="14">
        <v>5</v>
      </c>
      <c r="Q71" s="15">
        <f t="shared" si="70"/>
        <v>75.609756097560975</v>
      </c>
      <c r="R71" s="38">
        <f t="shared" si="81"/>
        <v>4.8780487804878049E-3</v>
      </c>
      <c r="S71" s="38"/>
      <c r="T71" s="15">
        <f t="shared" si="82"/>
        <v>0.38476082435242959</v>
      </c>
      <c r="U71" s="15"/>
      <c r="V71" s="15"/>
      <c r="W71" s="14"/>
      <c r="X71" s="14"/>
      <c r="Y71" s="18">
        <f>Q71-$Q$41</f>
        <v>37.034817522622397</v>
      </c>
    </row>
    <row r="75" spans="1:38" ht="43.2" x14ac:dyDescent="0.3">
      <c r="A75" s="16" t="s">
        <v>0</v>
      </c>
      <c r="B75" s="16" t="s">
        <v>1</v>
      </c>
      <c r="C75" s="1" t="s">
        <v>2</v>
      </c>
      <c r="D75" s="16" t="s">
        <v>3</v>
      </c>
      <c r="E75" s="1" t="s">
        <v>4</v>
      </c>
      <c r="F75" s="16" t="s">
        <v>5</v>
      </c>
      <c r="G75" s="1" t="s">
        <v>6</v>
      </c>
      <c r="H75" s="1" t="s">
        <v>7</v>
      </c>
      <c r="I75" s="1" t="s">
        <v>8</v>
      </c>
      <c r="J75" s="1" t="s">
        <v>9</v>
      </c>
      <c r="K75" s="1" t="s">
        <v>23</v>
      </c>
      <c r="L75" s="1" t="s">
        <v>24</v>
      </c>
      <c r="M75" s="1" t="s">
        <v>9</v>
      </c>
      <c r="N75" s="1" t="s">
        <v>55</v>
      </c>
      <c r="O75" s="1" t="s">
        <v>56</v>
      </c>
      <c r="AB75" s="50" t="s">
        <v>27</v>
      </c>
      <c r="AC75" s="50"/>
      <c r="AD75" s="50"/>
      <c r="AE75" s="50"/>
      <c r="AF75" s="50"/>
      <c r="AG75" s="50"/>
      <c r="AH75" s="50"/>
      <c r="AI75" s="50"/>
      <c r="AJ75" s="50"/>
    </row>
    <row r="76" spans="1:38" x14ac:dyDescent="0.3">
      <c r="A76" s="2" t="s">
        <v>10</v>
      </c>
      <c r="B76" s="2"/>
      <c r="C76" s="2"/>
      <c r="D76" s="2"/>
      <c r="E76" s="2"/>
      <c r="F76" s="2"/>
      <c r="G76" s="2"/>
      <c r="H76" s="2"/>
      <c r="I76" s="2"/>
      <c r="J76" s="2"/>
      <c r="AB76" s="50" t="s">
        <v>29</v>
      </c>
      <c r="AC76" s="50"/>
      <c r="AD76" s="50"/>
      <c r="AE76" s="50" t="s">
        <v>30</v>
      </c>
      <c r="AF76" s="50"/>
      <c r="AG76" s="50"/>
      <c r="AH76" s="50" t="s">
        <v>31</v>
      </c>
      <c r="AI76" s="50"/>
      <c r="AJ76" s="50"/>
    </row>
    <row r="77" spans="1:38" x14ac:dyDescent="0.3">
      <c r="A77" s="2" t="s">
        <v>11</v>
      </c>
      <c r="B77" s="2">
        <v>6.68</v>
      </c>
      <c r="C77" s="2">
        <v>11.19</v>
      </c>
      <c r="D77" s="2">
        <f>(C77-B77)/1000</f>
        <v>4.5100000000000001E-3</v>
      </c>
      <c r="E77" s="2">
        <f>20/(100^2)</f>
        <v>2E-3</v>
      </c>
      <c r="F77" s="2">
        <f>6.895*1.5</f>
        <v>10.342499999999999</v>
      </c>
      <c r="G77" s="2">
        <v>10</v>
      </c>
      <c r="H77" s="3">
        <f>(D77/(E77*(G77/60)))</f>
        <v>13.530000000000001</v>
      </c>
      <c r="I77" s="3">
        <f>AVERAGE(H77:H79)</f>
        <v>20.2</v>
      </c>
      <c r="J77" s="2">
        <f>_xlfn.STDEV.P(H77:H79)</f>
        <v>6.1557940186461755</v>
      </c>
      <c r="K77">
        <f>H77/F77</f>
        <v>1.3081943437273389</v>
      </c>
      <c r="L77" s="3">
        <f>AVERAGE(K77:K79)</f>
        <v>1.9531061155426637</v>
      </c>
      <c r="M77" s="2">
        <f>_xlfn.STDEV.P(K77:K79)</f>
        <v>0.59519400712073223</v>
      </c>
      <c r="N77">
        <f>K77*60.1/1000</f>
        <v>7.8622480058013061E-2</v>
      </c>
      <c r="O77">
        <f>AVERAGE(N77:N79)</f>
        <v>0.1173816775441141</v>
      </c>
      <c r="P77">
        <f>_xlfn.STDEV.P(N77:N79)</f>
        <v>3.5771159827955964E-2</v>
      </c>
      <c r="AB77" t="s">
        <v>39</v>
      </c>
      <c r="AC77" t="s">
        <v>40</v>
      </c>
      <c r="AD77" t="s">
        <v>9</v>
      </c>
      <c r="AE77" t="s">
        <v>39</v>
      </c>
      <c r="AF77" t="s">
        <v>40</v>
      </c>
      <c r="AG77" t="s">
        <v>9</v>
      </c>
      <c r="AH77" t="s">
        <v>39</v>
      </c>
      <c r="AI77" t="s">
        <v>40</v>
      </c>
      <c r="AJ77" t="s">
        <v>9</v>
      </c>
    </row>
    <row r="78" spans="1:38" x14ac:dyDescent="0.3">
      <c r="A78" s="2" t="s">
        <v>12</v>
      </c>
      <c r="B78" s="2">
        <v>6.74</v>
      </c>
      <c r="C78" s="2">
        <v>12.97</v>
      </c>
      <c r="D78" s="2">
        <f t="shared" ref="D78:D79" si="83">(C78-B78)/1000</f>
        <v>6.2300000000000003E-3</v>
      </c>
      <c r="E78" s="2">
        <f t="shared" ref="E78:E95" si="84">20/(100^2)</f>
        <v>2E-3</v>
      </c>
      <c r="F78" s="2">
        <f t="shared" ref="F78:F79" si="85">6.895*1.5</f>
        <v>10.342499999999999</v>
      </c>
      <c r="G78" s="2">
        <v>10</v>
      </c>
      <c r="H78" s="3">
        <f t="shared" ref="H78:H85" si="86">(D78/(E78*(G78/60)))</f>
        <v>18.690000000000001</v>
      </c>
      <c r="I78" s="3"/>
      <c r="J78" s="3"/>
      <c r="K78">
        <f t="shared" ref="K78:K84" si="87">H78/F78</f>
        <v>1.8071065989847719</v>
      </c>
      <c r="L78" s="3"/>
      <c r="M78" s="3"/>
      <c r="N78">
        <f t="shared" ref="N78:N79" si="88">K78*60.1/1000</f>
        <v>0.1086071065989848</v>
      </c>
      <c r="O78" s="16"/>
      <c r="P78" s="16"/>
      <c r="Q78" s="16"/>
      <c r="R78" s="25"/>
      <c r="S78" s="25"/>
      <c r="T78" s="25"/>
      <c r="U78" s="25"/>
      <c r="V78" s="25"/>
      <c r="W78" s="25"/>
      <c r="X78" s="25"/>
      <c r="AB78">
        <v>3.48</v>
      </c>
      <c r="AC78" s="18">
        <f>W88</f>
        <v>63.624070317782277</v>
      </c>
      <c r="AD78" s="18">
        <f>X88</f>
        <v>8.6190323083039894E-2</v>
      </c>
      <c r="AE78">
        <v>3.51</v>
      </c>
      <c r="AF78" s="18">
        <f>W91</f>
        <v>37.287847929395802</v>
      </c>
      <c r="AG78" s="18">
        <f>X91</f>
        <v>6.0511899724693379</v>
      </c>
      <c r="AH78">
        <v>3.55</v>
      </c>
      <c r="AI78" s="18">
        <f>W94</f>
        <v>27.352510970258418</v>
      </c>
      <c r="AJ78" s="18">
        <f>X94</f>
        <v>4.8292934917920691</v>
      </c>
      <c r="AK78">
        <v>3.46</v>
      </c>
      <c r="AL78" s="18">
        <v>26.589595375722546</v>
      </c>
    </row>
    <row r="79" spans="1:38" x14ac:dyDescent="0.3">
      <c r="A79" s="2" t="s">
        <v>32</v>
      </c>
      <c r="B79" s="2">
        <v>6.69</v>
      </c>
      <c r="C79" s="2">
        <v>16.149999999999999</v>
      </c>
      <c r="D79" s="2">
        <f t="shared" si="83"/>
        <v>9.4599999999999979E-3</v>
      </c>
      <c r="E79" s="2">
        <f t="shared" si="84"/>
        <v>2E-3</v>
      </c>
      <c r="F79" s="2">
        <f t="shared" si="85"/>
        <v>10.342499999999999</v>
      </c>
      <c r="G79" s="2">
        <v>10</v>
      </c>
      <c r="H79" s="3">
        <f t="shared" si="86"/>
        <v>28.379999999999995</v>
      </c>
      <c r="I79" s="3"/>
      <c r="J79" s="3"/>
      <c r="K79">
        <f t="shared" si="87"/>
        <v>2.7440174039158807</v>
      </c>
      <c r="L79" s="3"/>
      <c r="M79" s="3"/>
      <c r="N79">
        <f t="shared" si="88"/>
        <v>0.16491544597534444</v>
      </c>
      <c r="AB79">
        <v>5.2</v>
      </c>
      <c r="AC79" s="18">
        <f>W98</f>
        <v>40.041493775933617</v>
      </c>
      <c r="AD79" s="18">
        <f>X98</f>
        <v>2.1145038496514013</v>
      </c>
      <c r="AE79">
        <v>5.09</v>
      </c>
      <c r="AF79" s="18">
        <f>W101</f>
        <v>14.126330243734985</v>
      </c>
      <c r="AG79" s="18">
        <f>X101</f>
        <v>2.7959595375190589</v>
      </c>
      <c r="AH79">
        <v>5.0999999999999996</v>
      </c>
      <c r="AI79" s="18">
        <f>W104</f>
        <v>7.8270388615216184</v>
      </c>
      <c r="AJ79" s="18">
        <f>X104</f>
        <v>2.6215500853482285</v>
      </c>
      <c r="AK79">
        <v>5.01</v>
      </c>
      <c r="AL79" s="18">
        <v>12.499999999999993</v>
      </c>
    </row>
    <row r="80" spans="1:38" x14ac:dyDescent="0.3">
      <c r="A80" s="2" t="s">
        <v>13</v>
      </c>
      <c r="B80" s="2">
        <v>6.7</v>
      </c>
      <c r="C80" s="2">
        <v>14.56</v>
      </c>
      <c r="D80" s="2">
        <f>(C80-B80)/1000</f>
        <v>7.8600000000000007E-3</v>
      </c>
      <c r="E80" s="2">
        <f t="shared" si="84"/>
        <v>2E-3</v>
      </c>
      <c r="F80" s="2">
        <v>6.8949999999999996</v>
      </c>
      <c r="G80" s="2">
        <v>10</v>
      </c>
      <c r="H80" s="3">
        <f t="shared" si="86"/>
        <v>23.580000000000002</v>
      </c>
      <c r="I80" s="3">
        <f>AVERAGE(H80:H82)</f>
        <v>30.87</v>
      </c>
      <c r="J80" s="2">
        <f>_xlfn.STDEV.P(H80:H82)</f>
        <v>5.4601648326767664</v>
      </c>
      <c r="K80">
        <f>H80/F80</f>
        <v>3.4198694706308923</v>
      </c>
      <c r="L80" s="3">
        <f>AVERAGE(K80:K82)</f>
        <v>4.4771573604060917</v>
      </c>
      <c r="M80" s="2">
        <f>_xlfn.STDEV.P(K80:K82)</f>
        <v>0.79190207870583662</v>
      </c>
      <c r="N80">
        <f>K80*21/1000</f>
        <v>7.1817258883248747E-2</v>
      </c>
      <c r="O80">
        <f>AVERAGE(N80:N82)</f>
        <v>9.4020304568527932E-2</v>
      </c>
      <c r="P80">
        <f>_xlfn.STDEV.P(N80:N82)</f>
        <v>1.6629943652822648E-2</v>
      </c>
      <c r="AB80">
        <v>6.7</v>
      </c>
      <c r="AC80" s="18">
        <f>W108</f>
        <v>41.817554750819099</v>
      </c>
      <c r="AD80" s="18">
        <f>X108</f>
        <v>2.1514705431003391</v>
      </c>
      <c r="AE80">
        <v>6.4</v>
      </c>
      <c r="AF80" s="18">
        <f>W111</f>
        <v>19.317394317394314</v>
      </c>
      <c r="AG80" s="18">
        <f>X111</f>
        <v>4.7020109787241466</v>
      </c>
      <c r="AH80">
        <v>6.85</v>
      </c>
      <c r="AI80" s="18">
        <f>W114</f>
        <v>19.114219114219114</v>
      </c>
      <c r="AJ80" s="18">
        <f>X114</f>
        <v>3.8456418024125925</v>
      </c>
      <c r="AK80">
        <v>6.86</v>
      </c>
      <c r="AL80" s="18">
        <v>17.065868263473053</v>
      </c>
    </row>
    <row r="81" spans="1:38" x14ac:dyDescent="0.3">
      <c r="A81" s="2" t="s">
        <v>14</v>
      </c>
      <c r="B81" s="2">
        <v>6.69</v>
      </c>
      <c r="C81" s="2">
        <v>18.93</v>
      </c>
      <c r="D81" s="2">
        <f t="shared" ref="D81:D85" si="89">(C81-B81)/1000</f>
        <v>1.2239999999999999E-2</v>
      </c>
      <c r="E81" s="2">
        <f t="shared" si="84"/>
        <v>2E-3</v>
      </c>
      <c r="F81" s="2">
        <v>6.8949999999999996</v>
      </c>
      <c r="G81" s="2">
        <v>10</v>
      </c>
      <c r="H81" s="3">
        <f>(D81/(E81*(G81/60)))</f>
        <v>36.72</v>
      </c>
      <c r="I81" s="3"/>
      <c r="J81" s="2"/>
      <c r="K81">
        <f t="shared" si="87"/>
        <v>5.3255982596084124</v>
      </c>
      <c r="L81" s="3"/>
      <c r="M81" s="2"/>
      <c r="N81">
        <f t="shared" ref="N81:N82" si="90">K81*21/1000</f>
        <v>0.11183756345177666</v>
      </c>
      <c r="AB81">
        <v>8.9</v>
      </c>
      <c r="AC81" s="18">
        <f>W118</f>
        <v>55.927260250471782</v>
      </c>
      <c r="AD81" s="18">
        <f>X118</f>
        <v>6.1210646933047581</v>
      </c>
      <c r="AE81">
        <v>8.9</v>
      </c>
      <c r="AF81" s="18">
        <f>W121</f>
        <v>39.690003483106928</v>
      </c>
      <c r="AG81" s="18">
        <f>X121</f>
        <v>6.9687821806811199</v>
      </c>
      <c r="AH81">
        <v>9.0399999999999991</v>
      </c>
      <c r="AI81" s="18">
        <f>W124</f>
        <v>38.238238238238239</v>
      </c>
      <c r="AJ81" s="18">
        <f>X124</f>
        <v>4.8511555895543568</v>
      </c>
      <c r="AK81">
        <v>8.5</v>
      </c>
      <c r="AL81" s="18">
        <v>29.26136363636364</v>
      </c>
    </row>
    <row r="82" spans="1:38" x14ac:dyDescent="0.3">
      <c r="A82" s="2" t="s">
        <v>33</v>
      </c>
      <c r="B82" s="2">
        <v>6.71</v>
      </c>
      <c r="C82" s="2">
        <v>17.48</v>
      </c>
      <c r="D82" s="2">
        <f t="shared" si="89"/>
        <v>1.077E-2</v>
      </c>
      <c r="E82" s="2">
        <f t="shared" si="84"/>
        <v>2E-3</v>
      </c>
      <c r="F82" s="2">
        <v>6.8949999999999996</v>
      </c>
      <c r="G82" s="2">
        <v>10</v>
      </c>
      <c r="H82" s="3">
        <f>(D82/(E82*(G82/60)))</f>
        <v>32.31</v>
      </c>
      <c r="I82" s="3"/>
      <c r="J82" s="2"/>
      <c r="K82">
        <f t="shared" si="87"/>
        <v>4.6860043509789708</v>
      </c>
      <c r="L82" s="3"/>
      <c r="M82" s="2"/>
      <c r="N82">
        <f t="shared" si="90"/>
        <v>9.8406091370558391E-2</v>
      </c>
      <c r="AB82">
        <v>9.9</v>
      </c>
      <c r="AC82" s="18">
        <f>W128</f>
        <v>70.88900766078747</v>
      </c>
      <c r="AD82" s="18">
        <f>X128</f>
        <v>6.4822531573985387</v>
      </c>
      <c r="AE82">
        <v>10</v>
      </c>
      <c r="AF82" s="18">
        <f>W131</f>
        <v>48.951670220326946</v>
      </c>
      <c r="AG82" s="18">
        <f>X131</f>
        <v>7.3574071154346443</v>
      </c>
      <c r="AH82">
        <v>10.02</v>
      </c>
      <c r="AI82" s="18">
        <f>W134</f>
        <v>45.243282498184463</v>
      </c>
      <c r="AJ82" s="18">
        <f>X134</f>
        <v>2.1887625352477182</v>
      </c>
      <c r="AK82">
        <v>9.9700000000000006</v>
      </c>
      <c r="AL82" s="18">
        <v>62.154696132596683</v>
      </c>
    </row>
    <row r="83" spans="1:38" x14ac:dyDescent="0.3">
      <c r="A83" s="2" t="s">
        <v>15</v>
      </c>
      <c r="B83" s="2">
        <v>6.69</v>
      </c>
      <c r="C83" s="2">
        <v>9.42</v>
      </c>
      <c r="D83" s="2">
        <f t="shared" si="89"/>
        <v>2.7299999999999994E-3</v>
      </c>
      <c r="E83" s="2">
        <f t="shared" si="84"/>
        <v>2E-3</v>
      </c>
      <c r="F83" s="2">
        <v>6.8949999999999996</v>
      </c>
      <c r="G83" s="2">
        <v>10</v>
      </c>
      <c r="H83" s="3">
        <f t="shared" si="86"/>
        <v>8.1899999999999977</v>
      </c>
      <c r="I83" s="3">
        <f>AVERAGE(H83:H85)</f>
        <v>7.3099999999999987</v>
      </c>
      <c r="J83" s="2">
        <f>_xlfn.STDEV.P(H83:H85)</f>
        <v>0.85603738236131377</v>
      </c>
      <c r="K83">
        <f>H83/F83</f>
        <v>1.1878172588832485</v>
      </c>
      <c r="L83" s="3">
        <f>AVERAGE(K83:K85)</f>
        <v>1.060188542422045</v>
      </c>
      <c r="M83" s="2">
        <f>_xlfn.STDEV.P(K83:K85)</f>
        <v>0.1241533549472517</v>
      </c>
      <c r="N83">
        <f>K83*113.1/1000</f>
        <v>0.13434213197969541</v>
      </c>
      <c r="O83">
        <f>AVERAGE(N83:N85)</f>
        <v>0.11990732414793327</v>
      </c>
      <c r="P83">
        <f>_xlfn.STDEV.P(N83:N85)</f>
        <v>1.4041744444534278E-2</v>
      </c>
      <c r="AB83">
        <v>10.43</v>
      </c>
      <c r="AC83" s="18">
        <f>W138</f>
        <v>77.516839614054263</v>
      </c>
      <c r="AD83" s="18">
        <f>X138</f>
        <v>6.9933224552141713</v>
      </c>
      <c r="AE83">
        <v>10.52</v>
      </c>
      <c r="AF83" s="18">
        <f>W141</f>
        <v>57.727108215707567</v>
      </c>
      <c r="AG83" s="18">
        <f>X141</f>
        <v>9.4720459160245003</v>
      </c>
      <c r="AH83">
        <v>10.45</v>
      </c>
      <c r="AI83" s="18">
        <f>W144</f>
        <v>47.727272727272727</v>
      </c>
      <c r="AJ83" s="18">
        <f>X144</f>
        <v>8.1581942688226707</v>
      </c>
      <c r="AK83">
        <v>10.52</v>
      </c>
      <c r="AL83" s="18">
        <v>63.783783783783782</v>
      </c>
    </row>
    <row r="84" spans="1:38" x14ac:dyDescent="0.3">
      <c r="A84" s="2" t="s">
        <v>16</v>
      </c>
      <c r="B84" s="2">
        <v>6.69</v>
      </c>
      <c r="C84" s="2">
        <v>9.2200000000000006</v>
      </c>
      <c r="D84" s="2">
        <f t="shared" si="89"/>
        <v>2.5300000000000001E-3</v>
      </c>
      <c r="E84" s="2">
        <f t="shared" si="84"/>
        <v>2E-3</v>
      </c>
      <c r="F84" s="2">
        <v>6.8949999999999996</v>
      </c>
      <c r="G84" s="2">
        <v>10</v>
      </c>
      <c r="H84" s="3">
        <f t="shared" si="86"/>
        <v>7.5900000000000007</v>
      </c>
      <c r="I84" s="3"/>
      <c r="J84" s="2"/>
      <c r="K84">
        <f t="shared" si="87"/>
        <v>1.1007976794778827</v>
      </c>
      <c r="L84" s="2"/>
      <c r="M84" s="2"/>
      <c r="N84">
        <f t="shared" ref="N84:N85" si="91">K84*113.1/1000</f>
        <v>0.12450021754894852</v>
      </c>
    </row>
    <row r="85" spans="1:38" x14ac:dyDescent="0.3">
      <c r="A85" s="2" t="s">
        <v>34</v>
      </c>
      <c r="B85" s="2">
        <v>6.71</v>
      </c>
      <c r="C85" s="2">
        <v>8.76</v>
      </c>
      <c r="D85" s="2">
        <f t="shared" si="89"/>
        <v>2.0499999999999997E-3</v>
      </c>
      <c r="E85" s="2">
        <f t="shared" si="84"/>
        <v>2E-3</v>
      </c>
      <c r="F85" s="2">
        <v>6.8949999999999996</v>
      </c>
      <c r="G85" s="2">
        <v>10</v>
      </c>
      <c r="H85" s="3">
        <f t="shared" si="86"/>
        <v>6.1499999999999995</v>
      </c>
      <c r="I85" s="3"/>
      <c r="J85" s="2"/>
      <c r="K85">
        <f>H85/F85</f>
        <v>0.89195068890500362</v>
      </c>
      <c r="L85" s="2"/>
      <c r="M85" s="2"/>
      <c r="N85">
        <f t="shared" si="91"/>
        <v>0.10087962291515591</v>
      </c>
    </row>
    <row r="86" spans="1:38" x14ac:dyDescent="0.3">
      <c r="A86" t="s">
        <v>17</v>
      </c>
      <c r="N86" s="25" t="s">
        <v>0</v>
      </c>
      <c r="O86" s="25" t="s">
        <v>25</v>
      </c>
      <c r="P86" s="25" t="s">
        <v>26</v>
      </c>
      <c r="Q86" s="25" t="s">
        <v>27</v>
      </c>
      <c r="R86" s="25" t="s">
        <v>38</v>
      </c>
      <c r="S86" s="25" t="s">
        <v>72</v>
      </c>
      <c r="T86" s="25" t="s">
        <v>73</v>
      </c>
      <c r="U86" s="25" t="s">
        <v>74</v>
      </c>
      <c r="V86" s="25" t="s">
        <v>75</v>
      </c>
      <c r="W86" s="25" t="s">
        <v>28</v>
      </c>
      <c r="X86" s="25" t="s">
        <v>9</v>
      </c>
      <c r="AB86" s="50" t="s">
        <v>27</v>
      </c>
      <c r="AC86" s="50"/>
      <c r="AD86" s="50"/>
      <c r="AE86" s="50"/>
      <c r="AF86" s="50"/>
      <c r="AG86" s="50"/>
      <c r="AH86" s="50"/>
      <c r="AI86" s="50"/>
      <c r="AJ86" s="50"/>
    </row>
    <row r="87" spans="1:38" x14ac:dyDescent="0.3">
      <c r="A87" t="s">
        <v>11</v>
      </c>
      <c r="B87" s="2">
        <v>6.68</v>
      </c>
      <c r="C87" s="2">
        <v>10.98</v>
      </c>
      <c r="D87" s="2">
        <f>(C87-B87)/1000</f>
        <v>4.3000000000000009E-3</v>
      </c>
      <c r="E87" s="2">
        <f>20/(100^2)</f>
        <v>2E-3</v>
      </c>
      <c r="F87" s="2">
        <f>6.895*1.5</f>
        <v>10.342499999999999</v>
      </c>
      <c r="G87" s="2">
        <v>10</v>
      </c>
      <c r="H87" s="3">
        <f>(D87/(E87*(G87/60)))</f>
        <v>12.900000000000004</v>
      </c>
      <c r="I87" s="3">
        <f>AVERAGE(H87:H89)</f>
        <v>18.72</v>
      </c>
      <c r="J87" s="2">
        <f>_xlfn.STDEV.P(H87:H89)</f>
        <v>5.5006181470812905</v>
      </c>
      <c r="K87">
        <f>H87/F87</f>
        <v>1.2472806381435828</v>
      </c>
      <c r="L87" s="3">
        <f>AVERAGE(K87:K89)</f>
        <v>1.8100072516316175</v>
      </c>
      <c r="M87" s="2">
        <f>_xlfn.STDEV.P(K87:K89)</f>
        <v>0.53184608625393148</v>
      </c>
      <c r="N87" s="4" t="s">
        <v>17</v>
      </c>
      <c r="O87" s="4"/>
      <c r="P87" s="4"/>
      <c r="Q87" s="4"/>
      <c r="R87" s="4"/>
      <c r="S87" s="4"/>
      <c r="T87" s="4"/>
      <c r="U87" s="4"/>
      <c r="V87" s="4"/>
      <c r="W87" s="4"/>
      <c r="X87" s="4"/>
      <c r="AB87" s="50" t="s">
        <v>29</v>
      </c>
      <c r="AC87" s="50"/>
      <c r="AD87" s="50"/>
      <c r="AE87" s="50" t="s">
        <v>30</v>
      </c>
      <c r="AF87" s="50"/>
      <c r="AG87" s="50"/>
      <c r="AH87" s="50" t="s">
        <v>31</v>
      </c>
      <c r="AI87" s="50"/>
      <c r="AJ87" s="50"/>
    </row>
    <row r="88" spans="1:38" x14ac:dyDescent="0.3">
      <c r="A88" t="s">
        <v>12</v>
      </c>
      <c r="B88" s="2">
        <v>6.71</v>
      </c>
      <c r="C88" s="2">
        <v>12.43</v>
      </c>
      <c r="D88" s="2">
        <f t="shared" ref="D88:D89" si="92">(C88-B88)/1000</f>
        <v>5.7199999999999994E-3</v>
      </c>
      <c r="E88" s="2">
        <f t="shared" si="84"/>
        <v>2E-3</v>
      </c>
      <c r="F88" s="2">
        <f t="shared" ref="F88:F89" si="93">6.895*1.5</f>
        <v>10.342499999999999</v>
      </c>
      <c r="G88" s="2">
        <v>10</v>
      </c>
      <c r="H88" s="3">
        <f t="shared" ref="H88:H90" si="94">(D88/(E88*(G88/60)))</f>
        <v>17.16</v>
      </c>
      <c r="I88" s="3"/>
      <c r="J88" s="3"/>
      <c r="K88">
        <f t="shared" ref="K88:K95" si="95">H88/F88</f>
        <v>1.659173313995649</v>
      </c>
      <c r="L88" s="3"/>
      <c r="M88" s="3"/>
      <c r="N88" s="4" t="s">
        <v>11</v>
      </c>
      <c r="O88" s="4">
        <v>19.72</v>
      </c>
      <c r="P88" s="4">
        <v>7.15</v>
      </c>
      <c r="Q88" s="5">
        <f>(O88-P88)*100/O88</f>
        <v>63.74239350912778</v>
      </c>
      <c r="R88" s="37">
        <f>((100-Q88)/100)*0.02*10</f>
        <v>7.2515212981744431E-2</v>
      </c>
      <c r="S88" s="37">
        <f>AVERAGE(R88:R90)</f>
        <v>7.2751859364435442E-2</v>
      </c>
      <c r="T88" s="5"/>
      <c r="U88" s="5"/>
      <c r="V88" s="5"/>
      <c r="W88" s="5">
        <f>AVERAGE(Q88:Q90)</f>
        <v>63.624070317782277</v>
      </c>
      <c r="X88" s="5">
        <f>_xlfn.STDEV.P(Q88:Q90)</f>
        <v>8.6190323083039894E-2</v>
      </c>
      <c r="AB88" t="s">
        <v>39</v>
      </c>
      <c r="AC88" t="s">
        <v>40</v>
      </c>
      <c r="AD88" t="s">
        <v>9</v>
      </c>
      <c r="AE88" t="s">
        <v>39</v>
      </c>
      <c r="AF88" t="s">
        <v>40</v>
      </c>
      <c r="AG88" t="s">
        <v>9</v>
      </c>
      <c r="AH88" t="s">
        <v>39</v>
      </c>
      <c r="AI88" t="s">
        <v>40</v>
      </c>
      <c r="AJ88" t="s">
        <v>9</v>
      </c>
    </row>
    <row r="89" spans="1:38" x14ac:dyDescent="0.3">
      <c r="A89" t="s">
        <v>32</v>
      </c>
      <c r="B89" s="2">
        <v>6.67</v>
      </c>
      <c r="C89" s="2">
        <v>15.37</v>
      </c>
      <c r="D89" s="2">
        <f t="shared" si="92"/>
        <v>8.6999999999999994E-3</v>
      </c>
      <c r="E89" s="2">
        <f t="shared" si="84"/>
        <v>2E-3</v>
      </c>
      <c r="F89" s="2">
        <f t="shared" si="93"/>
        <v>10.342499999999999</v>
      </c>
      <c r="G89" s="2">
        <v>10</v>
      </c>
      <c r="H89" s="3">
        <f t="shared" si="94"/>
        <v>26.099999999999998</v>
      </c>
      <c r="I89" s="3"/>
      <c r="J89" s="3"/>
      <c r="K89">
        <f t="shared" si="95"/>
        <v>2.5235678027556201</v>
      </c>
      <c r="L89" s="3"/>
      <c r="M89" s="3"/>
      <c r="N89" s="4" t="s">
        <v>12</v>
      </c>
      <c r="O89" s="4">
        <v>19.72</v>
      </c>
      <c r="P89" s="4">
        <v>7.19</v>
      </c>
      <c r="Q89" s="5">
        <f>(O89-P89)*100/O89</f>
        <v>63.53955375253549</v>
      </c>
      <c r="R89" s="37">
        <f t="shared" ref="R89:R96" si="96">((100-Q89)/100)*0.02*10</f>
        <v>7.2920892494929029E-2</v>
      </c>
      <c r="S89" s="37"/>
      <c r="T89" s="5"/>
      <c r="U89" s="5"/>
      <c r="V89" s="5"/>
      <c r="W89" s="5"/>
      <c r="X89" s="5"/>
      <c r="AB89">
        <v>6.7</v>
      </c>
      <c r="AC89" s="18">
        <f>U108</f>
        <v>0.97037849861955683</v>
      </c>
      <c r="AD89" s="18">
        <f>V108</f>
        <v>3.588265750084306E-2</v>
      </c>
      <c r="AE89">
        <v>6.4</v>
      </c>
      <c r="AF89" s="18">
        <f>U111</f>
        <v>0.93954999141887008</v>
      </c>
      <c r="AG89" s="18">
        <f>V111</f>
        <v>5.4754978936731619E-2</v>
      </c>
      <c r="AH89">
        <v>6.85</v>
      </c>
      <c r="AI89" s="18">
        <f>U114</f>
        <v>0.87754347789977238</v>
      </c>
      <c r="AJ89" s="18">
        <f>V114</f>
        <v>4.1722016466792175E-2</v>
      </c>
    </row>
    <row r="90" spans="1:38" x14ac:dyDescent="0.3">
      <c r="A90" t="s">
        <v>13</v>
      </c>
      <c r="B90" s="2">
        <v>6.65</v>
      </c>
      <c r="C90" s="2">
        <v>15.36</v>
      </c>
      <c r="D90" s="2">
        <f>(C90-B90)/1000</f>
        <v>8.709999999999999E-3</v>
      </c>
      <c r="E90" s="2">
        <f t="shared" si="84"/>
        <v>2E-3</v>
      </c>
      <c r="F90" s="2">
        <v>6.8949999999999996</v>
      </c>
      <c r="G90" s="2">
        <v>15.5</v>
      </c>
      <c r="H90" s="3">
        <f t="shared" si="94"/>
        <v>16.85806451612903</v>
      </c>
      <c r="I90" s="3">
        <f>AVERAGE(H90:H92)</f>
        <v>22.264516129032259</v>
      </c>
      <c r="J90" s="2">
        <f>_xlfn.STDEV.P(H90:H92)</f>
        <v>4.0680271573790794</v>
      </c>
      <c r="K90">
        <f>H90/F90</f>
        <v>2.4449694729701279</v>
      </c>
      <c r="L90" s="3">
        <f>AVERAGE(K90:K92)</f>
        <v>3.2290813820206323</v>
      </c>
      <c r="M90" s="2">
        <f>_xlfn.STDEV.P(K90:K92)</f>
        <v>0.58999668707455843</v>
      </c>
      <c r="N90" s="4" t="s">
        <v>32</v>
      </c>
      <c r="O90" s="4">
        <v>19.72</v>
      </c>
      <c r="P90" s="4">
        <v>7.18</v>
      </c>
      <c r="Q90" s="5">
        <f t="shared" ref="Q90:Q96" si="97">(O90-P90)*100/O90</f>
        <v>63.590263691683575</v>
      </c>
      <c r="R90" s="37">
        <f t="shared" si="96"/>
        <v>7.2819472616632852E-2</v>
      </c>
      <c r="S90" s="37"/>
      <c r="T90" s="5"/>
      <c r="U90" s="5"/>
      <c r="V90" s="5"/>
      <c r="W90" s="5"/>
      <c r="X90" s="5"/>
      <c r="AB90">
        <v>8.9</v>
      </c>
      <c r="AC90" s="18">
        <f>U118</f>
        <v>0.75749205040757017</v>
      </c>
      <c r="AD90" s="18">
        <f>V118</f>
        <v>0.10520466554971762</v>
      </c>
      <c r="AE90">
        <v>8.9</v>
      </c>
      <c r="AF90" s="18">
        <f>U121</f>
        <v>0.74749688618317978</v>
      </c>
      <c r="AG90" s="18">
        <f>V121</f>
        <v>8.6372795247779521E-2</v>
      </c>
      <c r="AH90">
        <v>9.0399999999999991</v>
      </c>
      <c r="AI90" s="18">
        <f>U124</f>
        <v>0.76356760218431707</v>
      </c>
      <c r="AJ90" s="18">
        <f>V124</f>
        <v>5.9975381784403745E-2</v>
      </c>
    </row>
    <row r="91" spans="1:38" x14ac:dyDescent="0.3">
      <c r="A91" t="s">
        <v>14</v>
      </c>
      <c r="B91" s="2">
        <v>6.7</v>
      </c>
      <c r="C91" s="2">
        <v>20.48</v>
      </c>
      <c r="D91" s="2">
        <f t="shared" ref="D91:D95" si="98">(C91-B91)/1000</f>
        <v>1.3780000000000001E-2</v>
      </c>
      <c r="E91" s="2">
        <f t="shared" si="84"/>
        <v>2E-3</v>
      </c>
      <c r="F91" s="2">
        <v>6.8949999999999996</v>
      </c>
      <c r="G91" s="2">
        <v>15.5</v>
      </c>
      <c r="H91" s="3">
        <f>(D91/(E91*(G91/60)))</f>
        <v>26.670967741935485</v>
      </c>
      <c r="I91" s="3"/>
      <c r="J91" s="2"/>
      <c r="K91">
        <f t="shared" si="95"/>
        <v>3.8681606587288595</v>
      </c>
      <c r="L91" s="3"/>
      <c r="M91" s="2"/>
      <c r="N91" s="4" t="s">
        <v>13</v>
      </c>
      <c r="O91" s="4">
        <v>19.64</v>
      </c>
      <c r="P91" s="4">
        <v>10.94</v>
      </c>
      <c r="Q91" s="5">
        <f t="shared" si="97"/>
        <v>44.297352342158867</v>
      </c>
      <c r="R91" s="37">
        <f t="shared" si="96"/>
        <v>0.11140529531568227</v>
      </c>
      <c r="S91" s="37">
        <f>AVERAGE(R91:R93)</f>
        <v>0.12542430414120842</v>
      </c>
      <c r="T91" s="5"/>
      <c r="U91" s="5"/>
      <c r="V91" s="5"/>
      <c r="W91" s="5">
        <f>AVERAGE(Q91:Q93)</f>
        <v>37.287847929395802</v>
      </c>
      <c r="X91" s="5">
        <f>_xlfn.STDEV.P(Q91:Q93)</f>
        <v>6.0511899724693379</v>
      </c>
      <c r="AB91">
        <v>9.9</v>
      </c>
      <c r="AC91" s="18">
        <f>U128</f>
        <v>0.50033978830792403</v>
      </c>
      <c r="AD91" s="18">
        <f>V128</f>
        <v>0.11141252536975114</v>
      </c>
      <c r="AE91">
        <v>10</v>
      </c>
      <c r="AF91" s="18">
        <f>U131</f>
        <v>0.63270551747535497</v>
      </c>
      <c r="AG91" s="18">
        <f>V131</f>
        <v>9.118950798859507E-2</v>
      </c>
      <c r="AH91">
        <v>10.02</v>
      </c>
      <c r="AI91" s="18">
        <f>U134</f>
        <v>0.67696345268815195</v>
      </c>
      <c r="AJ91" s="18">
        <f>V134</f>
        <v>2.7059917222515086E-2</v>
      </c>
    </row>
    <row r="92" spans="1:38" x14ac:dyDescent="0.3">
      <c r="A92" t="s">
        <v>33</v>
      </c>
      <c r="B92" s="2">
        <v>6.68</v>
      </c>
      <c r="C92" s="2">
        <v>18.7</v>
      </c>
      <c r="D92" s="2">
        <f t="shared" si="98"/>
        <v>1.2019999999999999E-2</v>
      </c>
      <c r="E92" s="2">
        <f t="shared" si="84"/>
        <v>2E-3</v>
      </c>
      <c r="F92" s="2">
        <v>6.8949999999999996</v>
      </c>
      <c r="G92" s="2">
        <v>15.5</v>
      </c>
      <c r="H92" s="3">
        <f>(D92/(E92*(G92/60)))</f>
        <v>23.264516129032256</v>
      </c>
      <c r="I92" s="3"/>
      <c r="J92" s="2"/>
      <c r="K92">
        <f t="shared" si="95"/>
        <v>3.3741140143629087</v>
      </c>
      <c r="L92" s="3"/>
      <c r="M92" s="2"/>
      <c r="N92" s="4" t="s">
        <v>14</v>
      </c>
      <c r="O92" s="4">
        <v>19.64</v>
      </c>
      <c r="P92" s="4">
        <v>13.84</v>
      </c>
      <c r="Q92" s="5">
        <f t="shared" si="97"/>
        <v>29.531568228105911</v>
      </c>
      <c r="R92" s="37">
        <f t="shared" si="96"/>
        <v>0.1409368635437882</v>
      </c>
      <c r="S92" s="37"/>
      <c r="T92" s="5"/>
      <c r="U92" s="5"/>
      <c r="V92" s="5"/>
      <c r="W92" s="4"/>
      <c r="X92" s="4"/>
      <c r="AB92">
        <v>10.43</v>
      </c>
      <c r="AC92" s="18">
        <f>U138</f>
        <v>0.38642515435121344</v>
      </c>
      <c r="AD92" s="18">
        <f>V138</f>
        <v>0.12019643425544475</v>
      </c>
      <c r="AE92">
        <v>10.52</v>
      </c>
      <c r="AF92" s="18">
        <f>U141</f>
        <v>0.52394058702799196</v>
      </c>
      <c r="AG92" s="18">
        <f>V141</f>
        <v>0.11739885983958251</v>
      </c>
      <c r="AH92">
        <v>10.45</v>
      </c>
      <c r="AI92" s="18">
        <f>U144</f>
        <v>0.64625360230547557</v>
      </c>
      <c r="AJ92" s="18">
        <f>V144</f>
        <v>0.10086067266066009</v>
      </c>
    </row>
    <row r="93" spans="1:38" x14ac:dyDescent="0.3">
      <c r="A93" t="s">
        <v>15</v>
      </c>
      <c r="B93" s="2">
        <v>6.67</v>
      </c>
      <c r="C93" s="2">
        <v>12.51</v>
      </c>
      <c r="D93" s="2">
        <f t="shared" si="98"/>
        <v>5.8399999999999997E-3</v>
      </c>
      <c r="E93" s="2">
        <f t="shared" si="84"/>
        <v>2E-3</v>
      </c>
      <c r="F93" s="2">
        <v>6.8949999999999996</v>
      </c>
      <c r="G93" s="2">
        <v>10</v>
      </c>
      <c r="H93" s="3">
        <f t="shared" ref="H93:H95" si="99">(D93/(E93*(G93/60)))</f>
        <v>17.52</v>
      </c>
      <c r="I93" s="3">
        <f>AVERAGE(H93:H95)</f>
        <v>13.969999999999999</v>
      </c>
      <c r="J93" s="2">
        <f>_xlfn.STDEV.P(H93:H95)</f>
        <v>10.268719491738002</v>
      </c>
      <c r="K93">
        <f>H93/F93</f>
        <v>2.5409717186366931</v>
      </c>
      <c r="L93" s="3">
        <f>AVERAGE(K93:K95)</f>
        <v>2.0261058738216096</v>
      </c>
      <c r="M93" s="2">
        <f>_xlfn.STDEV.P(K93:K95)</f>
        <v>1.4892994186712114</v>
      </c>
      <c r="N93" s="4" t="s">
        <v>33</v>
      </c>
      <c r="O93" s="4">
        <v>19.64</v>
      </c>
      <c r="P93" s="4">
        <v>12.17</v>
      </c>
      <c r="Q93" s="5">
        <f t="shared" si="97"/>
        <v>38.034623217922615</v>
      </c>
      <c r="R93" s="37">
        <f t="shared" si="96"/>
        <v>0.12393075356415477</v>
      </c>
      <c r="S93" s="37"/>
      <c r="T93" s="5"/>
      <c r="U93" s="5"/>
      <c r="V93" s="5"/>
      <c r="W93" s="4"/>
      <c r="X93" s="4"/>
    </row>
    <row r="94" spans="1:38" x14ac:dyDescent="0.3">
      <c r="A94" t="s">
        <v>16</v>
      </c>
      <c r="B94" s="2">
        <v>6.71</v>
      </c>
      <c r="C94" s="2">
        <v>14.84</v>
      </c>
      <c r="D94" s="2">
        <f t="shared" si="98"/>
        <v>8.1299999999999983E-3</v>
      </c>
      <c r="E94" s="2">
        <f t="shared" si="84"/>
        <v>2E-3</v>
      </c>
      <c r="F94" s="2">
        <v>6.8949999999999996</v>
      </c>
      <c r="G94" s="2">
        <v>10</v>
      </c>
      <c r="H94" s="3">
        <f t="shared" si="99"/>
        <v>24.389999999999997</v>
      </c>
      <c r="I94" s="3"/>
      <c r="J94" s="2"/>
      <c r="K94">
        <f t="shared" si="95"/>
        <v>3.537345902828136</v>
      </c>
      <c r="N94" s="4" t="s">
        <v>15</v>
      </c>
      <c r="O94" s="4">
        <v>20.51</v>
      </c>
      <c r="P94" s="4">
        <v>13.64</v>
      </c>
      <c r="Q94" s="5">
        <f t="shared" si="97"/>
        <v>33.495855680156026</v>
      </c>
      <c r="R94" s="37">
        <f t="shared" si="96"/>
        <v>0.13300828863968794</v>
      </c>
      <c r="S94" s="37">
        <f>AVERAGE(R94:R96)</f>
        <v>0.14529497805948319</v>
      </c>
      <c r="T94" s="5"/>
      <c r="U94" s="5"/>
      <c r="V94" s="5"/>
      <c r="W94" s="5">
        <f>AVERAGE(Q94:Q96)</f>
        <v>27.352510970258418</v>
      </c>
      <c r="X94" s="5">
        <f>_xlfn.STDEV.P(Q94:Q96)</f>
        <v>4.8292934917920691</v>
      </c>
    </row>
    <row r="95" spans="1:38" x14ac:dyDescent="0.3">
      <c r="A95" t="s">
        <v>34</v>
      </c>
      <c r="B95" s="2"/>
      <c r="C95" s="2"/>
      <c r="D95" s="2">
        <f t="shared" si="98"/>
        <v>0</v>
      </c>
      <c r="E95" s="2">
        <f t="shared" si="84"/>
        <v>2E-3</v>
      </c>
      <c r="F95" s="2">
        <v>6.8949999999999996</v>
      </c>
      <c r="G95" s="2">
        <v>10</v>
      </c>
      <c r="H95" s="3">
        <f t="shared" si="99"/>
        <v>0</v>
      </c>
      <c r="I95" s="3"/>
      <c r="J95" s="2"/>
      <c r="K95">
        <f t="shared" si="95"/>
        <v>0</v>
      </c>
      <c r="N95" s="4" t="s">
        <v>16</v>
      </c>
      <c r="O95" s="4">
        <v>20.51</v>
      </c>
      <c r="P95" s="4">
        <v>16.059999999999999</v>
      </c>
      <c r="Q95" s="5">
        <f t="shared" si="97"/>
        <v>21.696733300828875</v>
      </c>
      <c r="R95" s="37">
        <f t="shared" si="96"/>
        <v>0.15660653339834227</v>
      </c>
      <c r="S95" s="37"/>
      <c r="T95" s="5"/>
      <c r="U95" s="5"/>
      <c r="V95" s="5"/>
      <c r="W95" s="4"/>
      <c r="X95" s="4"/>
    </row>
    <row r="96" spans="1:38" x14ac:dyDescent="0.3">
      <c r="A96" t="s">
        <v>19</v>
      </c>
      <c r="N96" s="4" t="s">
        <v>34</v>
      </c>
      <c r="O96" s="4">
        <v>20.51</v>
      </c>
      <c r="P96" s="4">
        <v>15</v>
      </c>
      <c r="Q96" s="5">
        <f t="shared" si="97"/>
        <v>26.86494392979035</v>
      </c>
      <c r="R96" s="37">
        <f t="shared" si="96"/>
        <v>0.14627011214041932</v>
      </c>
      <c r="S96" s="37"/>
      <c r="T96" s="5"/>
      <c r="U96" s="5"/>
      <c r="V96" s="5"/>
      <c r="W96" s="4"/>
      <c r="X96" s="4"/>
    </row>
    <row r="97" spans="1:27" x14ac:dyDescent="0.3">
      <c r="A97" t="s">
        <v>11</v>
      </c>
      <c r="B97" s="2">
        <v>6.69</v>
      </c>
      <c r="C97" s="2">
        <v>11.22</v>
      </c>
      <c r="D97" s="2">
        <f>(C97-B97)/1000</f>
        <v>4.5300000000000002E-3</v>
      </c>
      <c r="E97" s="2">
        <f>20/(100^2)</f>
        <v>2E-3</v>
      </c>
      <c r="F97" s="2">
        <f>6.895*1.5</f>
        <v>10.342499999999999</v>
      </c>
      <c r="G97" s="2">
        <v>10</v>
      </c>
      <c r="H97" s="3">
        <f>(D97/(E97*(G97/60)))</f>
        <v>13.590000000000002</v>
      </c>
      <c r="I97" s="3">
        <f>AVERAGE(H97:H99)</f>
        <v>19.820000000000004</v>
      </c>
      <c r="J97" s="2">
        <f>_xlfn.STDEV.P(H97:H99)</f>
        <v>5.9207938656906425</v>
      </c>
      <c r="K97">
        <f>H97/F97</f>
        <v>1.3139956490210301</v>
      </c>
      <c r="L97" s="3">
        <f>AVERAGE(K97:K99)</f>
        <v>1.9163645153492872</v>
      </c>
      <c r="M97" s="2">
        <f>_xlfn.STDEV.P(K97:K99)</f>
        <v>0.5724722132647474</v>
      </c>
      <c r="N97" s="6" t="s">
        <v>19</v>
      </c>
      <c r="O97" s="6"/>
      <c r="P97" s="6">
        <v>0</v>
      </c>
      <c r="Q97" s="7" t="e">
        <f>(O97-P97)*100/O97</f>
        <v>#DIV/0!</v>
      </c>
      <c r="R97" s="7"/>
      <c r="S97" s="7"/>
      <c r="T97" s="7"/>
      <c r="U97" s="7"/>
      <c r="V97" s="7"/>
      <c r="W97" s="6"/>
      <c r="X97" s="6"/>
    </row>
    <row r="98" spans="1:27" x14ac:dyDescent="0.3">
      <c r="A98" t="s">
        <v>12</v>
      </c>
      <c r="B98" s="2">
        <v>6.68</v>
      </c>
      <c r="C98" s="2">
        <v>12.71</v>
      </c>
      <c r="D98" s="2">
        <f t="shared" ref="D98:D99" si="100">(C98-B98)/1000</f>
        <v>6.0300000000000015E-3</v>
      </c>
      <c r="E98" s="2">
        <f t="shared" ref="E98:E105" si="101">20/(100^2)</f>
        <v>2E-3</v>
      </c>
      <c r="F98" s="2">
        <f t="shared" ref="F98:F99" si="102">6.895*1.5</f>
        <v>10.342499999999999</v>
      </c>
      <c r="G98" s="2">
        <v>10</v>
      </c>
      <c r="H98" s="3">
        <f t="shared" ref="H98:H100" si="103">(D98/(E98*(G98/60)))</f>
        <v>18.090000000000003</v>
      </c>
      <c r="I98" s="3"/>
      <c r="J98" s="3"/>
      <c r="K98">
        <f t="shared" ref="K98:K105" si="104">H98/F98</f>
        <v>1.7490935460478612</v>
      </c>
      <c r="L98" s="3"/>
      <c r="M98" s="3"/>
      <c r="N98" s="6" t="s">
        <v>11</v>
      </c>
      <c r="O98" s="6">
        <v>19.28</v>
      </c>
      <c r="P98" s="6">
        <v>11.92</v>
      </c>
      <c r="Q98" s="7">
        <f t="shared" ref="Q98:Q106" si="105">(O98-P98)*100/O98</f>
        <v>38.174273858921168</v>
      </c>
      <c r="R98" s="42">
        <f>((100-Q98)/100)*0.02*10</f>
        <v>0.12365145228215767</v>
      </c>
      <c r="S98" s="42">
        <f>AVERAGE(R98:R100)</f>
        <v>0.11991701244813278</v>
      </c>
      <c r="T98" s="7"/>
      <c r="U98" s="7"/>
      <c r="V98" s="7"/>
      <c r="W98" s="7">
        <f>AVERAGE(Q98:Q100)</f>
        <v>40.041493775933617</v>
      </c>
      <c r="X98" s="7">
        <f>_xlfn.STDEV.P(Q98:Q100)</f>
        <v>2.1145038496514013</v>
      </c>
    </row>
    <row r="99" spans="1:27" x14ac:dyDescent="0.3">
      <c r="A99" t="s">
        <v>32</v>
      </c>
      <c r="B99" s="2">
        <v>6.67</v>
      </c>
      <c r="C99" s="2">
        <v>15.93</v>
      </c>
      <c r="D99" s="2">
        <f t="shared" si="100"/>
        <v>9.2599999999999991E-3</v>
      </c>
      <c r="E99" s="2">
        <f t="shared" si="101"/>
        <v>2E-3</v>
      </c>
      <c r="F99" s="2">
        <f t="shared" si="102"/>
        <v>10.342499999999999</v>
      </c>
      <c r="G99" s="2">
        <v>10</v>
      </c>
      <c r="H99" s="3">
        <f t="shared" si="103"/>
        <v>27.779999999999998</v>
      </c>
      <c r="I99" s="3"/>
      <c r="J99" s="3"/>
      <c r="K99">
        <f t="shared" si="104"/>
        <v>2.6860043509789704</v>
      </c>
      <c r="L99" s="3"/>
      <c r="M99" s="3"/>
      <c r="N99" s="6" t="s">
        <v>12</v>
      </c>
      <c r="O99" s="6">
        <v>19.28</v>
      </c>
      <c r="P99" s="6">
        <v>11.77</v>
      </c>
      <c r="Q99" s="7">
        <f t="shared" si="105"/>
        <v>38.95228215767635</v>
      </c>
      <c r="R99" s="42">
        <f t="shared" ref="R99:R105" si="106">((100-Q99)/100)*0.02*10</f>
        <v>0.1220954356846473</v>
      </c>
      <c r="S99" s="42"/>
      <c r="T99" s="7"/>
      <c r="U99" s="7"/>
      <c r="V99" s="7"/>
      <c r="W99" s="7"/>
      <c r="X99" s="7"/>
    </row>
    <row r="100" spans="1:27" x14ac:dyDescent="0.3">
      <c r="A100" t="s">
        <v>13</v>
      </c>
      <c r="B100" s="2">
        <v>6.68</v>
      </c>
      <c r="C100" s="2">
        <v>12.71</v>
      </c>
      <c r="D100" s="2">
        <f>(C100-B100)/1000</f>
        <v>6.0300000000000015E-3</v>
      </c>
      <c r="E100" s="2">
        <f t="shared" si="101"/>
        <v>2E-3</v>
      </c>
      <c r="F100" s="2">
        <v>6.8949999999999996</v>
      </c>
      <c r="G100" s="2">
        <v>10</v>
      </c>
      <c r="H100" s="3">
        <f t="shared" si="103"/>
        <v>18.090000000000003</v>
      </c>
      <c r="I100" s="3">
        <f>AVERAGE(H100:H102)</f>
        <v>23.959999999999997</v>
      </c>
      <c r="J100" s="2">
        <f>_xlfn.STDEV.P(H100:H102)</f>
        <v>4.3753628420966564</v>
      </c>
      <c r="K100">
        <f>H100/F100</f>
        <v>2.6236403190717916</v>
      </c>
      <c r="L100" s="3">
        <f>AVERAGE(K100:K102)</f>
        <v>3.4749818709209577</v>
      </c>
      <c r="M100" s="2">
        <f>_xlfn.STDEV.P(K100:K102)</f>
        <v>0.63457039044186159</v>
      </c>
      <c r="N100" s="6" t="s">
        <v>32</v>
      </c>
      <c r="O100" s="6">
        <v>19.28</v>
      </c>
      <c r="P100" s="6">
        <v>10.99</v>
      </c>
      <c r="Q100" s="7">
        <f t="shared" si="105"/>
        <v>42.997925311203325</v>
      </c>
      <c r="R100" s="42">
        <f t="shared" si="106"/>
        <v>0.11400414937759337</v>
      </c>
      <c r="S100" s="42"/>
      <c r="T100" s="7"/>
      <c r="U100" s="7"/>
      <c r="V100" s="7"/>
      <c r="W100" s="7"/>
      <c r="X100" s="7"/>
    </row>
    <row r="101" spans="1:27" x14ac:dyDescent="0.3">
      <c r="A101" t="s">
        <v>14</v>
      </c>
      <c r="B101" s="2">
        <v>6.65</v>
      </c>
      <c r="C101" s="2">
        <v>16.18</v>
      </c>
      <c r="D101" s="2">
        <f t="shared" ref="D101:D105" si="107">(C101-B101)/1000</f>
        <v>9.5299999999999985E-3</v>
      </c>
      <c r="E101" s="2">
        <f t="shared" si="101"/>
        <v>2E-3</v>
      </c>
      <c r="F101" s="2">
        <v>6.8949999999999996</v>
      </c>
      <c r="G101" s="2">
        <v>10</v>
      </c>
      <c r="H101" s="3">
        <f>(D101/(E101*(G101/60)))</f>
        <v>28.589999999999996</v>
      </c>
      <c r="I101" s="3"/>
      <c r="J101" s="2"/>
      <c r="K101">
        <f t="shared" si="104"/>
        <v>4.1464829586656995</v>
      </c>
      <c r="L101" s="3"/>
      <c r="M101" s="2"/>
      <c r="N101" s="6" t="s">
        <v>13</v>
      </c>
      <c r="O101" s="6">
        <v>19.420000000000002</v>
      </c>
      <c r="P101" s="6">
        <v>16.010000000000002</v>
      </c>
      <c r="Q101" s="7">
        <f t="shared" si="105"/>
        <v>17.55921730175077</v>
      </c>
      <c r="R101" s="42">
        <f t="shared" si="106"/>
        <v>0.16488156539649845</v>
      </c>
      <c r="S101" s="42">
        <f>AVERAGE(R101:R103)</f>
        <v>0.17174733951253005</v>
      </c>
      <c r="T101" s="7"/>
      <c r="U101" s="7"/>
      <c r="V101" s="7"/>
      <c r="W101" s="7">
        <f>AVERAGE(Q101:Q103)</f>
        <v>14.126330243734985</v>
      </c>
      <c r="X101" s="7">
        <f>_xlfn.STDEV.P(Q101:Q103)</f>
        <v>2.7959595375190589</v>
      </c>
    </row>
    <row r="102" spans="1:27" x14ac:dyDescent="0.3">
      <c r="A102" t="s">
        <v>33</v>
      </c>
      <c r="B102" s="2">
        <v>6.68</v>
      </c>
      <c r="C102" s="2">
        <v>15.08</v>
      </c>
      <c r="D102" s="2">
        <f t="shared" si="107"/>
        <v>8.4000000000000012E-3</v>
      </c>
      <c r="E102" s="2">
        <f t="shared" si="101"/>
        <v>2E-3</v>
      </c>
      <c r="F102" s="2">
        <v>6.8949999999999996</v>
      </c>
      <c r="G102" s="2">
        <v>10</v>
      </c>
      <c r="H102" s="3">
        <f>(D102/(E102*(G102/60)))</f>
        <v>25.200000000000003</v>
      </c>
      <c r="I102" s="3"/>
      <c r="J102" s="2"/>
      <c r="K102">
        <f t="shared" si="104"/>
        <v>3.6548223350253815</v>
      </c>
      <c r="L102" s="3"/>
      <c r="M102" s="2"/>
      <c r="N102" s="6" t="s">
        <v>14</v>
      </c>
      <c r="O102" s="6">
        <v>19.420000000000002</v>
      </c>
      <c r="P102" s="6">
        <v>17.34</v>
      </c>
      <c r="Q102" s="7">
        <f t="shared" si="105"/>
        <v>10.710607621009277</v>
      </c>
      <c r="R102" s="42">
        <f t="shared" si="106"/>
        <v>0.17857878475798145</v>
      </c>
      <c r="S102" s="42"/>
      <c r="T102" s="7"/>
      <c r="U102" s="7"/>
      <c r="V102" s="7"/>
      <c r="W102" s="6"/>
      <c r="X102" s="6"/>
    </row>
    <row r="103" spans="1:27" x14ac:dyDescent="0.3">
      <c r="A103" t="s">
        <v>15</v>
      </c>
      <c r="B103" s="2">
        <v>6.7</v>
      </c>
      <c r="C103" s="2">
        <v>12.82</v>
      </c>
      <c r="D103" s="2">
        <f t="shared" si="107"/>
        <v>6.1200000000000004E-3</v>
      </c>
      <c r="E103" s="2">
        <f t="shared" si="101"/>
        <v>2E-3</v>
      </c>
      <c r="F103" s="2">
        <v>6.8949999999999996</v>
      </c>
      <c r="G103" s="2">
        <v>10</v>
      </c>
      <c r="H103" s="3">
        <f t="shared" ref="H103:H105" si="108">(D103/(E103*(G103/60)))</f>
        <v>18.360000000000003</v>
      </c>
      <c r="I103" s="3">
        <f>AVERAGE(H103:H105)</f>
        <v>14.57</v>
      </c>
      <c r="J103" s="2">
        <f>_xlfn.STDEV.P(H103:H105)</f>
        <v>10.690453685414854</v>
      </c>
      <c r="K103">
        <f>H103/F103</f>
        <v>2.6627991298042066</v>
      </c>
      <c r="L103" s="3">
        <f>AVERAGE(K103:K105)</f>
        <v>2.1131254532269761</v>
      </c>
      <c r="M103" s="2">
        <f>_xlfn.STDEV.P(K103:K105)</f>
        <v>1.550464638928913</v>
      </c>
      <c r="N103" s="6" t="s">
        <v>33</v>
      </c>
      <c r="O103" s="6">
        <v>19.420000000000002</v>
      </c>
      <c r="P103" s="6">
        <v>16.68</v>
      </c>
      <c r="Q103" s="7">
        <f t="shared" si="105"/>
        <v>14.109165808444912</v>
      </c>
      <c r="R103" s="42">
        <f t="shared" si="106"/>
        <v>0.17178166838311021</v>
      </c>
      <c r="S103" s="42"/>
      <c r="T103" s="7"/>
      <c r="U103" s="7"/>
      <c r="V103" s="7"/>
      <c r="W103" s="6"/>
      <c r="X103" s="6"/>
    </row>
    <row r="104" spans="1:27" x14ac:dyDescent="0.3">
      <c r="A104" t="s">
        <v>16</v>
      </c>
      <c r="B104" s="2">
        <v>6.72</v>
      </c>
      <c r="C104" s="2">
        <v>15.17</v>
      </c>
      <c r="D104" s="2">
        <f t="shared" si="107"/>
        <v>8.4499999999999992E-3</v>
      </c>
      <c r="E104" s="2">
        <f t="shared" si="101"/>
        <v>2E-3</v>
      </c>
      <c r="F104" s="2">
        <v>6.8949999999999996</v>
      </c>
      <c r="G104" s="2">
        <v>10</v>
      </c>
      <c r="H104" s="3">
        <f t="shared" si="108"/>
        <v>25.349999999999998</v>
      </c>
      <c r="I104" s="3"/>
      <c r="J104" s="2"/>
      <c r="K104">
        <f t="shared" si="104"/>
        <v>3.6765772298767221</v>
      </c>
      <c r="N104" s="6" t="s">
        <v>15</v>
      </c>
      <c r="O104" s="6">
        <v>18.27</v>
      </c>
      <c r="P104" s="6">
        <v>16.190000000000001</v>
      </c>
      <c r="Q104" s="7">
        <f t="shared" si="105"/>
        <v>11.384783798576892</v>
      </c>
      <c r="R104" s="42">
        <f t="shared" si="106"/>
        <v>0.17723043240284622</v>
      </c>
      <c r="S104" s="42">
        <f>AVERAGE(R104:R106)</f>
        <v>0.18434592227695679</v>
      </c>
      <c r="T104" s="7"/>
      <c r="U104" s="7"/>
      <c r="V104" s="7"/>
      <c r="W104" s="7">
        <f>AVERAGE(Q104:Q106)</f>
        <v>7.8270388615216184</v>
      </c>
      <c r="X104" s="7">
        <f>_xlfn.STDEV.P(Q104:Q106)</f>
        <v>2.6215500853482285</v>
      </c>
    </row>
    <row r="105" spans="1:27" x14ac:dyDescent="0.3">
      <c r="A105" t="s">
        <v>34</v>
      </c>
      <c r="B105" s="2"/>
      <c r="C105" s="2"/>
      <c r="D105" s="2">
        <f t="shared" si="107"/>
        <v>0</v>
      </c>
      <c r="E105" s="2">
        <f t="shared" si="101"/>
        <v>2E-3</v>
      </c>
      <c r="F105" s="2">
        <v>6.8949999999999996</v>
      </c>
      <c r="G105" s="2">
        <v>10</v>
      </c>
      <c r="H105" s="3">
        <f t="shared" si="108"/>
        <v>0</v>
      </c>
      <c r="I105" s="3"/>
      <c r="J105" s="2"/>
      <c r="K105">
        <f t="shared" si="104"/>
        <v>0</v>
      </c>
      <c r="N105" s="6" t="s">
        <v>16</v>
      </c>
      <c r="O105" s="6">
        <v>18.27</v>
      </c>
      <c r="P105" s="6">
        <v>17.329999999999998</v>
      </c>
      <c r="Q105" s="7">
        <f t="shared" si="105"/>
        <v>5.1450465243568759</v>
      </c>
      <c r="R105" s="42">
        <f t="shared" si="106"/>
        <v>0.18970990695128628</v>
      </c>
      <c r="S105" s="42"/>
      <c r="T105" s="7"/>
      <c r="U105" s="7"/>
      <c r="V105" s="7"/>
      <c r="W105" s="6"/>
      <c r="X105" s="6"/>
    </row>
    <row r="106" spans="1:27" x14ac:dyDescent="0.3">
      <c r="A106" t="s">
        <v>18</v>
      </c>
      <c r="N106" s="6" t="s">
        <v>34</v>
      </c>
      <c r="O106" s="6">
        <v>18.27</v>
      </c>
      <c r="P106" s="6">
        <v>17</v>
      </c>
      <c r="Q106" s="7">
        <f t="shared" si="105"/>
        <v>6.9512862616310871</v>
      </c>
      <c r="R106" s="42">
        <f>((100-Q106)/100)*0.02*10</f>
        <v>0.18609742747673783</v>
      </c>
      <c r="S106" s="42"/>
      <c r="T106" s="7"/>
      <c r="U106" s="7"/>
      <c r="V106" s="7"/>
      <c r="W106" s="6"/>
      <c r="X106" s="6"/>
    </row>
    <row r="107" spans="1:27" x14ac:dyDescent="0.3">
      <c r="A107" t="s">
        <v>11</v>
      </c>
      <c r="B107" s="2">
        <v>6.66</v>
      </c>
      <c r="C107" s="2">
        <v>11.22</v>
      </c>
      <c r="D107" s="2">
        <f>(C107-B107)/1000</f>
        <v>4.5600000000000007E-3</v>
      </c>
      <c r="E107" s="2">
        <f>20/(100^2)</f>
        <v>2E-3</v>
      </c>
      <c r="F107" s="2">
        <f>6.895*1.5</f>
        <v>10.342499999999999</v>
      </c>
      <c r="G107" s="2">
        <v>10</v>
      </c>
      <c r="H107" s="3">
        <f>(D107/(E107*(G107/60)))</f>
        <v>13.680000000000003</v>
      </c>
      <c r="I107" s="3">
        <f>AVERAGE(H107:H109)</f>
        <v>20.080000000000002</v>
      </c>
      <c r="J107" s="2">
        <f>_xlfn.STDEV.P(H107:H109)</f>
        <v>6.0350144987398311</v>
      </c>
      <c r="K107">
        <f>H107/F107</f>
        <v>1.3226976069615668</v>
      </c>
      <c r="L107" s="3">
        <f>AVERAGE(K107:K109)</f>
        <v>1.941503504955282</v>
      </c>
      <c r="M107" s="2">
        <f>_xlfn.STDEV.P(K107:K109)</f>
        <v>0.58351602598402941</v>
      </c>
      <c r="N107" s="8" t="s">
        <v>18</v>
      </c>
      <c r="O107" s="8">
        <v>0</v>
      </c>
      <c r="P107" s="8">
        <v>0</v>
      </c>
      <c r="Q107" s="9" t="e">
        <f>(O107-P107)*100/O107</f>
        <v>#DIV/0!</v>
      </c>
      <c r="R107" s="9"/>
      <c r="S107" s="9"/>
      <c r="T107" s="9"/>
      <c r="U107" s="9"/>
      <c r="V107" s="9"/>
      <c r="W107" s="8"/>
      <c r="X107" s="8"/>
      <c r="Y107" t="s">
        <v>58</v>
      </c>
      <c r="Z107" t="s">
        <v>59</v>
      </c>
      <c r="AA107" t="s">
        <v>9</v>
      </c>
    </row>
    <row r="108" spans="1:27" x14ac:dyDescent="0.3">
      <c r="A108" t="s">
        <v>12</v>
      </c>
      <c r="B108" s="2">
        <v>6.67</v>
      </c>
      <c r="C108" s="2">
        <v>12.8</v>
      </c>
      <c r="D108" s="2">
        <f t="shared" ref="D108:D109" si="109">(C108-B108)/1000</f>
        <v>6.1300000000000009E-3</v>
      </c>
      <c r="E108" s="2">
        <f t="shared" ref="E108:E115" si="110">20/(100^2)</f>
        <v>2E-3</v>
      </c>
      <c r="F108" s="2">
        <f t="shared" ref="F108:F109" si="111">6.895*1.5</f>
        <v>10.342499999999999</v>
      </c>
      <c r="G108" s="2">
        <v>10</v>
      </c>
      <c r="H108" s="3">
        <f t="shared" ref="H108:H110" si="112">(D108/(E108*(G108/60)))</f>
        <v>18.390000000000004</v>
      </c>
      <c r="I108" s="3"/>
      <c r="J108" s="3"/>
      <c r="K108">
        <f t="shared" ref="K108:K115" si="113">H108/F108</f>
        <v>1.7781000725163167</v>
      </c>
      <c r="L108" s="3"/>
      <c r="M108" s="3"/>
      <c r="N108" s="8" t="s">
        <v>11</v>
      </c>
      <c r="O108" s="8">
        <v>19.329999999999998</v>
      </c>
      <c r="P108" s="8">
        <v>10.89</v>
      </c>
      <c r="Q108" s="9">
        <f t="shared" ref="Q108:Q116" si="114">(O108-P108)*100/O108</f>
        <v>43.66270046559751</v>
      </c>
      <c r="R108" s="41">
        <f>((100-Q108)/100)*0.02*10</f>
        <v>0.11267459906880496</v>
      </c>
      <c r="S108" s="41">
        <f>AVERAGE(R108:R110)</f>
        <v>0.11636489049836178</v>
      </c>
      <c r="T108" s="9">
        <f>R108/$S$98</f>
        <v>0.93960478808242198</v>
      </c>
      <c r="U108" s="9">
        <f>AVERAGE(T108:T110)</f>
        <v>0.97037849861955683</v>
      </c>
      <c r="V108" s="9">
        <f>_xlfn.STDEV.P(T108:T110)</f>
        <v>3.588265750084306E-2</v>
      </c>
      <c r="W108" s="9">
        <f>AVERAGE(Q108:Q110)</f>
        <v>41.817554750819099</v>
      </c>
      <c r="X108" s="9">
        <f>_xlfn.STDEV.P(Q108:Q110)</f>
        <v>2.1514705431003391</v>
      </c>
      <c r="Y108">
        <v>0</v>
      </c>
      <c r="Z108">
        <v>0</v>
      </c>
      <c r="AA108">
        <v>0</v>
      </c>
    </row>
    <row r="109" spans="1:27" x14ac:dyDescent="0.3">
      <c r="A109" t="s">
        <v>32</v>
      </c>
      <c r="B109" s="2">
        <v>6.69</v>
      </c>
      <c r="C109" s="2">
        <v>16.079999999999998</v>
      </c>
      <c r="D109" s="2">
        <f t="shared" si="109"/>
        <v>9.3899999999999973E-3</v>
      </c>
      <c r="E109" s="2">
        <f t="shared" si="110"/>
        <v>2E-3</v>
      </c>
      <c r="F109" s="2">
        <f t="shared" si="111"/>
        <v>10.342499999999999</v>
      </c>
      <c r="G109" s="2">
        <v>10</v>
      </c>
      <c r="H109" s="3">
        <f t="shared" si="112"/>
        <v>28.169999999999995</v>
      </c>
      <c r="I109" s="3"/>
      <c r="J109" s="3"/>
      <c r="K109">
        <f t="shared" si="113"/>
        <v>2.7237128353879618</v>
      </c>
      <c r="L109" s="3"/>
      <c r="M109" s="3"/>
      <c r="N109" s="8" t="s">
        <v>12</v>
      </c>
      <c r="O109" s="8">
        <v>19.329999999999998</v>
      </c>
      <c r="P109" s="8">
        <v>11.02</v>
      </c>
      <c r="Q109" s="9">
        <f t="shared" si="114"/>
        <v>42.990170719089498</v>
      </c>
      <c r="R109" s="41">
        <f t="shared" ref="R109:R116" si="115">((100-Q109)/100)*0.02*10</f>
        <v>0.114019658561821</v>
      </c>
      <c r="S109" s="41"/>
      <c r="T109" s="9">
        <f t="shared" ref="T109:T110" si="116">R109/$S$98</f>
        <v>0.9508213741660505</v>
      </c>
      <c r="U109" s="9"/>
      <c r="V109" s="9"/>
      <c r="W109" s="9"/>
      <c r="X109" s="9"/>
      <c r="Y109">
        <v>0</v>
      </c>
      <c r="Z109">
        <v>0</v>
      </c>
      <c r="AA109">
        <v>0</v>
      </c>
    </row>
    <row r="110" spans="1:27" x14ac:dyDescent="0.3">
      <c r="A110" t="s">
        <v>13</v>
      </c>
      <c r="B110" s="2">
        <v>6.68</v>
      </c>
      <c r="C110" s="2">
        <v>12.71</v>
      </c>
      <c r="D110" s="2">
        <f>(C110-B110)/1000</f>
        <v>6.0300000000000015E-3</v>
      </c>
      <c r="E110" s="2">
        <f t="shared" si="110"/>
        <v>2E-3</v>
      </c>
      <c r="F110" s="2">
        <v>6.8949999999999996</v>
      </c>
      <c r="G110" s="2">
        <v>10</v>
      </c>
      <c r="H110" s="3">
        <f t="shared" si="112"/>
        <v>18.090000000000003</v>
      </c>
      <c r="I110" s="3">
        <f>AVERAGE(H110:H112)</f>
        <v>24.28</v>
      </c>
      <c r="J110" s="2">
        <f>_xlfn.STDEV.P(H110:H112)</f>
        <v>4.5689604944669968</v>
      </c>
      <c r="K110">
        <f>H110/F110</f>
        <v>2.6236403190717916</v>
      </c>
      <c r="L110" s="3">
        <f>AVERAGE(K110:K112)</f>
        <v>3.521392313270487</v>
      </c>
      <c r="M110" s="2">
        <f>_xlfn.STDEV.P(K110:K112)</f>
        <v>0.66264836758041756</v>
      </c>
      <c r="N110" s="8" t="s">
        <v>32</v>
      </c>
      <c r="O110" s="8">
        <v>19.329999999999998</v>
      </c>
      <c r="P110" s="8">
        <v>11.83</v>
      </c>
      <c r="Q110" s="9">
        <f t="shared" si="114"/>
        <v>38.799793067770295</v>
      </c>
      <c r="R110" s="41">
        <f t="shared" si="115"/>
        <v>0.12240041386445941</v>
      </c>
      <c r="S110" s="41"/>
      <c r="T110" s="9">
        <f t="shared" si="116"/>
        <v>1.0207093336101978</v>
      </c>
      <c r="U110" s="9"/>
      <c r="V110" s="9"/>
      <c r="W110" s="9"/>
      <c r="X110" s="9"/>
      <c r="Y110">
        <v>0</v>
      </c>
      <c r="Z110">
        <v>0</v>
      </c>
      <c r="AA110">
        <v>0</v>
      </c>
    </row>
    <row r="111" spans="1:27" x14ac:dyDescent="0.3">
      <c r="A111" t="s">
        <v>14</v>
      </c>
      <c r="B111" s="2">
        <v>6.69</v>
      </c>
      <c r="C111" s="2">
        <v>16.350000000000001</v>
      </c>
      <c r="D111" s="2">
        <f t="shared" ref="D111:D115" si="117">(C111-B111)/1000</f>
        <v>9.6600000000000002E-3</v>
      </c>
      <c r="E111" s="2">
        <f t="shared" si="110"/>
        <v>2E-3</v>
      </c>
      <c r="F111" s="2">
        <v>6.8949999999999996</v>
      </c>
      <c r="G111" s="2">
        <v>10</v>
      </c>
      <c r="H111" s="3">
        <f>(D111/(E111*(G111/60)))</f>
        <v>28.98</v>
      </c>
      <c r="I111" s="3"/>
      <c r="J111" s="2"/>
      <c r="K111">
        <f t="shared" si="113"/>
        <v>4.2030456852791884</v>
      </c>
      <c r="L111" s="3"/>
      <c r="M111" s="2"/>
      <c r="N111" s="8" t="s">
        <v>13</v>
      </c>
      <c r="O111" s="8">
        <v>19.239999999999998</v>
      </c>
      <c r="P111" s="8">
        <v>14.26</v>
      </c>
      <c r="Q111" s="9">
        <f t="shared" si="114"/>
        <v>25.88357588357588</v>
      </c>
      <c r="R111" s="41">
        <f t="shared" si="115"/>
        <v>0.14823284823284827</v>
      </c>
      <c r="S111" s="41">
        <f>AVERAGE(R111:R113)</f>
        <v>0.1613652113652114</v>
      </c>
      <c r="T111" s="9">
        <f>R111/$S$101</f>
        <v>0.86308672177151102</v>
      </c>
      <c r="U111" s="9">
        <f>AVERAGE(T111:T113)</f>
        <v>0.93954999141887008</v>
      </c>
      <c r="V111" s="9">
        <f>_xlfn.STDEV.P(T111:T113)</f>
        <v>5.4754978936731619E-2</v>
      </c>
      <c r="W111" s="9">
        <f>AVERAGE(Q111:Q113)</f>
        <v>19.317394317394314</v>
      </c>
      <c r="X111" s="9">
        <f>_xlfn.STDEV.P(Q111:Q113)</f>
        <v>4.7020109787241466</v>
      </c>
      <c r="Y111">
        <v>0</v>
      </c>
      <c r="Z111">
        <v>0</v>
      </c>
      <c r="AA111">
        <v>0</v>
      </c>
    </row>
    <row r="112" spans="1:27" x14ac:dyDescent="0.3">
      <c r="A112" t="s">
        <v>33</v>
      </c>
      <c r="B112" s="2">
        <v>6.69</v>
      </c>
      <c r="C112" s="2">
        <v>15.28</v>
      </c>
      <c r="D112" s="2">
        <f t="shared" si="117"/>
        <v>8.5900000000000004E-3</v>
      </c>
      <c r="E112" s="2">
        <f t="shared" si="110"/>
        <v>2E-3</v>
      </c>
      <c r="F112" s="2">
        <v>6.8949999999999996</v>
      </c>
      <c r="G112" s="2">
        <v>10</v>
      </c>
      <c r="H112" s="3">
        <f>(D112/(E112*(G112/60)))</f>
        <v>25.770000000000003</v>
      </c>
      <c r="I112" s="3"/>
      <c r="J112" s="2"/>
      <c r="K112">
        <f t="shared" si="113"/>
        <v>3.7374909354604795</v>
      </c>
      <c r="L112" s="3"/>
      <c r="M112" s="2"/>
      <c r="N112" s="8" t="s">
        <v>14</v>
      </c>
      <c r="O112" s="8">
        <v>19.239999999999998</v>
      </c>
      <c r="P112" s="8">
        <v>16.329999999999998</v>
      </c>
      <c r="Q112" s="9">
        <f t="shared" si="114"/>
        <v>15.124740124740127</v>
      </c>
      <c r="R112" s="41">
        <f t="shared" si="115"/>
        <v>0.16975051975051975</v>
      </c>
      <c r="S112" s="41"/>
      <c r="T112" s="9">
        <f t="shared" ref="T112:T113" si="118">R112/$S$101</f>
        <v>0.98837350396414947</v>
      </c>
      <c r="U112" s="9"/>
      <c r="V112" s="9"/>
      <c r="W112" s="8"/>
      <c r="X112" s="8"/>
      <c r="Y112">
        <v>0</v>
      </c>
      <c r="Z112">
        <v>0</v>
      </c>
      <c r="AA112">
        <v>0</v>
      </c>
    </row>
    <row r="113" spans="1:27" x14ac:dyDescent="0.3">
      <c r="A113" t="s">
        <v>15</v>
      </c>
      <c r="B113" s="2">
        <v>6.67</v>
      </c>
      <c r="C113" s="2">
        <v>12.94</v>
      </c>
      <c r="D113" s="2">
        <f t="shared" si="117"/>
        <v>6.2699999999999995E-3</v>
      </c>
      <c r="E113" s="2">
        <f t="shared" si="110"/>
        <v>2E-3</v>
      </c>
      <c r="F113" s="2">
        <v>6.8949999999999996</v>
      </c>
      <c r="G113" s="2">
        <v>10</v>
      </c>
      <c r="H113" s="3">
        <f t="shared" ref="H113:H115" si="119">(D113/(E113*(G113/60)))</f>
        <v>18.809999999999999</v>
      </c>
      <c r="I113" s="3">
        <f>AVERAGE(H113:H115)</f>
        <v>14.899999999999999</v>
      </c>
      <c r="J113" s="2">
        <f>_xlfn.STDEV.P(H113:H115)</f>
        <v>10.925172767512651</v>
      </c>
      <c r="K113">
        <f>H113/F113</f>
        <v>2.7280638143582308</v>
      </c>
      <c r="L113" s="3">
        <f>AVERAGE(K113:K115)</f>
        <v>2.1609862218999276</v>
      </c>
      <c r="M113" s="2">
        <f>_xlfn.STDEV.P(K113:K115)</f>
        <v>1.5845065652665189</v>
      </c>
      <c r="N113" s="8" t="s">
        <v>33</v>
      </c>
      <c r="O113" s="8">
        <v>19.239999999999998</v>
      </c>
      <c r="P113" s="8">
        <v>15.98</v>
      </c>
      <c r="Q113" s="9">
        <f t="shared" si="114"/>
        <v>16.943866943866933</v>
      </c>
      <c r="R113" s="41">
        <f t="shared" si="115"/>
        <v>0.16611226611226615</v>
      </c>
      <c r="S113" s="41"/>
      <c r="T113" s="9">
        <f t="shared" si="118"/>
        <v>0.96718974852094997</v>
      </c>
      <c r="U113" s="9"/>
      <c r="V113" s="9"/>
      <c r="W113" s="8"/>
      <c r="X113" s="8"/>
      <c r="Y113">
        <v>0</v>
      </c>
      <c r="Z113">
        <v>0</v>
      </c>
      <c r="AA113">
        <v>0</v>
      </c>
    </row>
    <row r="114" spans="1:27" x14ac:dyDescent="0.3">
      <c r="A114" t="s">
        <v>16</v>
      </c>
      <c r="B114" s="2">
        <v>6.69</v>
      </c>
      <c r="C114" s="2">
        <v>15.32</v>
      </c>
      <c r="D114" s="2">
        <f t="shared" si="117"/>
        <v>8.6299999999999988E-3</v>
      </c>
      <c r="E114" s="2">
        <f t="shared" si="110"/>
        <v>2E-3</v>
      </c>
      <c r="F114" s="2">
        <v>6.8949999999999996</v>
      </c>
      <c r="G114" s="2">
        <v>10</v>
      </c>
      <c r="H114" s="3">
        <f t="shared" si="119"/>
        <v>25.889999999999997</v>
      </c>
      <c r="I114" s="3"/>
      <c r="J114" s="2"/>
      <c r="K114">
        <f t="shared" si="113"/>
        <v>3.7548948513415517</v>
      </c>
      <c r="N114" s="8" t="s">
        <v>15</v>
      </c>
      <c r="O114" s="8">
        <v>18.59</v>
      </c>
      <c r="P114" s="8">
        <v>14.18</v>
      </c>
      <c r="Q114" s="9">
        <f t="shared" si="114"/>
        <v>23.722431414739106</v>
      </c>
      <c r="R114" s="41">
        <f t="shared" si="115"/>
        <v>0.15255513717052177</v>
      </c>
      <c r="S114" s="41">
        <f>AVERAGE(R114:R116)</f>
        <v>0.16177156177156177</v>
      </c>
      <c r="T114" s="9">
        <f>R114/$S$104</f>
        <v>0.82754820549448704</v>
      </c>
      <c r="U114" s="9">
        <f>AVERAGE(T114:T116)</f>
        <v>0.87754347789977238</v>
      </c>
      <c r="V114" s="9">
        <f>_xlfn.STDEV.P(T114:T116)</f>
        <v>4.1722016466792175E-2</v>
      </c>
      <c r="W114" s="9">
        <f>AVERAGE(Q114:Q116)</f>
        <v>19.114219114219114</v>
      </c>
      <c r="X114" s="9">
        <f>_xlfn.STDEV.P(Q114:Q116)</f>
        <v>3.8456418024125925</v>
      </c>
      <c r="Y114">
        <v>0</v>
      </c>
      <c r="Z114">
        <v>0</v>
      </c>
      <c r="AA114">
        <v>0</v>
      </c>
    </row>
    <row r="115" spans="1:27" x14ac:dyDescent="0.3">
      <c r="A115" t="s">
        <v>34</v>
      </c>
      <c r="B115" s="2"/>
      <c r="C115" s="2"/>
      <c r="D115" s="2">
        <f t="shared" si="117"/>
        <v>0</v>
      </c>
      <c r="E115" s="2">
        <f t="shared" si="110"/>
        <v>2E-3</v>
      </c>
      <c r="F115" s="2">
        <v>6.8949999999999996</v>
      </c>
      <c r="G115" s="2">
        <v>10</v>
      </c>
      <c r="H115" s="3">
        <f t="shared" si="119"/>
        <v>0</v>
      </c>
      <c r="I115" s="3"/>
      <c r="J115" s="2"/>
      <c r="K115">
        <f t="shared" si="113"/>
        <v>0</v>
      </c>
      <c r="N115" s="8" t="s">
        <v>16</v>
      </c>
      <c r="O115" s="8">
        <v>18.59</v>
      </c>
      <c r="P115" s="8">
        <v>15.93</v>
      </c>
      <c r="Q115" s="9">
        <f t="shared" si="114"/>
        <v>14.308768154922001</v>
      </c>
      <c r="R115" s="41">
        <f t="shared" si="115"/>
        <v>0.17138246369015597</v>
      </c>
      <c r="S115" s="41"/>
      <c r="T115" s="9">
        <f t="shared" ref="T115:T116" si="120">R115/$S$104</f>
        <v>0.92967862577765714</v>
      </c>
      <c r="U115" s="9"/>
      <c r="V115" s="9"/>
      <c r="W115" s="8"/>
      <c r="X115" s="8"/>
      <c r="Y115">
        <v>0</v>
      </c>
      <c r="Z115">
        <v>0</v>
      </c>
      <c r="AA115">
        <v>0</v>
      </c>
    </row>
    <row r="116" spans="1:27" x14ac:dyDescent="0.3">
      <c r="A116" t="s">
        <v>20</v>
      </c>
      <c r="N116" s="8" t="s">
        <v>34</v>
      </c>
      <c r="O116" s="8">
        <v>18.59</v>
      </c>
      <c r="P116" s="8">
        <v>15</v>
      </c>
      <c r="Q116" s="9">
        <f t="shared" si="114"/>
        <v>19.311457772996235</v>
      </c>
      <c r="R116" s="41">
        <f t="shared" si="115"/>
        <v>0.16137708445400756</v>
      </c>
      <c r="S116" s="41"/>
      <c r="T116" s="9">
        <f t="shared" si="120"/>
        <v>0.87540360242717274</v>
      </c>
      <c r="U116" s="9"/>
      <c r="V116" s="9"/>
      <c r="W116" s="8"/>
      <c r="X116" s="8"/>
      <c r="Y116">
        <v>0</v>
      </c>
      <c r="Z116">
        <v>0</v>
      </c>
      <c r="AA116">
        <v>0</v>
      </c>
    </row>
    <row r="117" spans="1:27" x14ac:dyDescent="0.3">
      <c r="A117" t="s">
        <v>11</v>
      </c>
      <c r="B117" s="2">
        <v>6.71</v>
      </c>
      <c r="C117" s="2">
        <v>11.13</v>
      </c>
      <c r="D117" s="2">
        <f>(C117-B117)/1000</f>
        <v>4.4200000000000012E-3</v>
      </c>
      <c r="E117" s="2">
        <f>20/(100^2)</f>
        <v>2E-3</v>
      </c>
      <c r="F117" s="2">
        <f>6.895*1.5</f>
        <v>10.342499999999999</v>
      </c>
      <c r="G117" s="2">
        <v>10</v>
      </c>
      <c r="H117" s="3">
        <f>(D117/(E117*(G117/60)))</f>
        <v>13.260000000000003</v>
      </c>
      <c r="I117" s="3">
        <f>AVERAGE(H117:H119)</f>
        <v>19.490000000000002</v>
      </c>
      <c r="J117" s="2">
        <f>_xlfn.STDEV.P(H117:H119)</f>
        <v>5.9044559444541527</v>
      </c>
      <c r="K117">
        <f>H117/F117</f>
        <v>1.2820884699057291</v>
      </c>
      <c r="L117" s="3">
        <f>AVERAGE(K117:K119)</f>
        <v>1.8844573362339865</v>
      </c>
      <c r="M117" s="2">
        <f>_xlfn.STDEV.P(K117:K119)</f>
        <v>0.57089252544879365</v>
      </c>
      <c r="N117" s="10" t="s">
        <v>20</v>
      </c>
      <c r="O117" s="10">
        <v>0</v>
      </c>
      <c r="P117" s="10">
        <v>0</v>
      </c>
      <c r="Q117" s="11" t="e">
        <f>(O117-P117)*100/O117</f>
        <v>#DIV/0!</v>
      </c>
      <c r="R117" s="11"/>
      <c r="S117" s="11"/>
      <c r="T117" s="11"/>
      <c r="U117" s="11"/>
      <c r="V117" s="11"/>
      <c r="W117" s="10"/>
      <c r="X117" s="10"/>
    </row>
    <row r="118" spans="1:27" x14ac:dyDescent="0.3">
      <c r="A118" t="s">
        <v>12</v>
      </c>
      <c r="B118" s="2">
        <v>6.67</v>
      </c>
      <c r="C118" s="2">
        <v>12.6</v>
      </c>
      <c r="D118" s="2">
        <f t="shared" ref="D118:D119" si="121">(C118-B118)/1000</f>
        <v>5.9299999999999995E-3</v>
      </c>
      <c r="E118" s="2">
        <f t="shared" ref="E118:E125" si="122">20/(100^2)</f>
        <v>2E-3</v>
      </c>
      <c r="F118" s="2">
        <f t="shared" ref="F118:F119" si="123">6.895*1.5</f>
        <v>10.342499999999999</v>
      </c>
      <c r="G118" s="2">
        <v>10</v>
      </c>
      <c r="H118" s="3">
        <f t="shared" ref="H118:H120" si="124">(D118/(E118*(G118/60)))</f>
        <v>17.79</v>
      </c>
      <c r="I118" s="3"/>
      <c r="J118" s="3"/>
      <c r="K118">
        <f t="shared" ref="K118:K125" si="125">H118/F118</f>
        <v>1.7200870195794054</v>
      </c>
      <c r="L118" s="3"/>
      <c r="M118" s="3"/>
      <c r="N118" s="10" t="s">
        <v>11</v>
      </c>
      <c r="O118" s="10">
        <v>19.43</v>
      </c>
      <c r="P118" s="10">
        <v>7.25</v>
      </c>
      <c r="Q118" s="11">
        <f t="shared" ref="Q118:Q126" si="126">(O118-P118)*100/O118</f>
        <v>62.686567164179102</v>
      </c>
      <c r="R118" s="40">
        <f>((100-Q118)/100)*0.02*10</f>
        <v>7.4626865671641798E-2</v>
      </c>
      <c r="S118" s="40">
        <f>AVERAGE(R118:R120)</f>
        <v>8.8145479499056448E-2</v>
      </c>
      <c r="T118" s="11">
        <f>R118/$S$108</f>
        <v>0.64131771492271905</v>
      </c>
      <c r="U118" s="11">
        <f>AVERAGE(T118:T120)</f>
        <v>0.75749205040757017</v>
      </c>
      <c r="V118" s="11">
        <f>_xlfn.STDEV.P(T118:T120)</f>
        <v>0.10520466554971762</v>
      </c>
      <c r="W118" s="11">
        <f>AVERAGE(Q118:Q120)</f>
        <v>55.927260250471782</v>
      </c>
      <c r="X118" s="11">
        <f>_xlfn.STDEV.P(Q118:Q120)</f>
        <v>6.1210646933047581</v>
      </c>
      <c r="Y118" s="18">
        <f>Q118-$Q$108</f>
        <v>19.023866698581593</v>
      </c>
    </row>
    <row r="119" spans="1:27" x14ac:dyDescent="0.3">
      <c r="A119" t="s">
        <v>32</v>
      </c>
      <c r="B119" s="2">
        <v>6.7</v>
      </c>
      <c r="C119" s="2">
        <v>15.84</v>
      </c>
      <c r="D119" s="2">
        <f t="shared" si="121"/>
        <v>9.1400000000000006E-3</v>
      </c>
      <c r="E119" s="2">
        <f t="shared" si="122"/>
        <v>2E-3</v>
      </c>
      <c r="F119" s="2">
        <f t="shared" si="123"/>
        <v>10.342499999999999</v>
      </c>
      <c r="G119" s="2">
        <v>10</v>
      </c>
      <c r="H119" s="3">
        <f t="shared" si="124"/>
        <v>27.42</v>
      </c>
      <c r="I119" s="3"/>
      <c r="J119" s="3"/>
      <c r="K119">
        <f t="shared" si="125"/>
        <v>2.6511965192168243</v>
      </c>
      <c r="L119" s="3"/>
      <c r="M119" s="3"/>
      <c r="N119" s="10" t="s">
        <v>12</v>
      </c>
      <c r="O119" s="10">
        <v>19.43</v>
      </c>
      <c r="P119" s="10">
        <v>8.31</v>
      </c>
      <c r="Q119" s="11">
        <f t="shared" si="126"/>
        <v>57.231085949562534</v>
      </c>
      <c r="R119" s="40">
        <f t="shared" ref="R119:R126" si="127">((100-Q119)/100)*0.02*10</f>
        <v>8.553782810087493E-2</v>
      </c>
      <c r="S119" s="40"/>
      <c r="T119" s="11">
        <f t="shared" ref="T119:T120" si="128">R119/$S$108</f>
        <v>0.73508278772521296</v>
      </c>
      <c r="U119" s="11"/>
      <c r="V119" s="11"/>
      <c r="W119" s="11"/>
      <c r="X119" s="11"/>
      <c r="Y119" s="18">
        <f>Q119-$Q$109</f>
        <v>14.240915230473036</v>
      </c>
      <c r="Z119" s="18">
        <f>AVERAGE(Y118:Y120)</f>
        <v>14.109705499652677</v>
      </c>
      <c r="AA119">
        <f>_xlfn.STDEV.P(Y118:Y120)</f>
        <v>4.0670203712824584</v>
      </c>
    </row>
    <row r="120" spans="1:27" x14ac:dyDescent="0.3">
      <c r="A120" t="s">
        <v>13</v>
      </c>
      <c r="B120" s="2">
        <v>6.68</v>
      </c>
      <c r="C120" s="2">
        <v>12.77</v>
      </c>
      <c r="D120" s="2">
        <f>(C120-B120)/1000</f>
        <v>6.0899999999999999E-3</v>
      </c>
      <c r="E120" s="2">
        <f t="shared" si="122"/>
        <v>2E-3</v>
      </c>
      <c r="F120" s="2">
        <v>6.8949999999999996</v>
      </c>
      <c r="G120" s="2">
        <v>10</v>
      </c>
      <c r="H120" s="3">
        <f t="shared" si="124"/>
        <v>18.27</v>
      </c>
      <c r="I120" s="3">
        <f>AVERAGE(H120:H122)</f>
        <v>24.419999999999998</v>
      </c>
      <c r="J120" s="2">
        <f>_xlfn.STDEV.P(H120:H122)</f>
        <v>4.5348649373493037</v>
      </c>
      <c r="K120">
        <f>H120/F120</f>
        <v>2.6497461928934012</v>
      </c>
      <c r="L120" s="3">
        <f>AVERAGE(K120:K122)</f>
        <v>3.5416968817984049</v>
      </c>
      <c r="M120" s="2">
        <f>_xlfn.STDEV.P(K120:K122)</f>
        <v>0.6577033991804615</v>
      </c>
      <c r="N120" s="10" t="s">
        <v>32</v>
      </c>
      <c r="O120" s="10">
        <v>19.43</v>
      </c>
      <c r="P120" s="10">
        <v>10.130000000000001</v>
      </c>
      <c r="Q120" s="11">
        <f t="shared" si="126"/>
        <v>47.864127637673697</v>
      </c>
      <c r="R120" s="40">
        <f t="shared" si="127"/>
        <v>0.10427174472465262</v>
      </c>
      <c r="S120" s="40"/>
      <c r="T120" s="11">
        <f t="shared" si="128"/>
        <v>0.8960756485747785</v>
      </c>
      <c r="U120" s="11"/>
      <c r="V120" s="11"/>
      <c r="W120" s="11"/>
      <c r="X120" s="11"/>
      <c r="Y120" s="18">
        <f>Q120-$Q$110</f>
        <v>9.0643345699034015</v>
      </c>
    </row>
    <row r="121" spans="1:27" x14ac:dyDescent="0.3">
      <c r="A121" t="s">
        <v>14</v>
      </c>
      <c r="B121" s="2">
        <v>6.67</v>
      </c>
      <c r="C121" s="2">
        <v>16.36</v>
      </c>
      <c r="D121" s="2">
        <f t="shared" ref="D121:D125" si="129">(C121-B121)/1000</f>
        <v>9.689999999999999E-3</v>
      </c>
      <c r="E121" s="2">
        <f t="shared" si="122"/>
        <v>2E-3</v>
      </c>
      <c r="F121" s="2">
        <v>6.8949999999999996</v>
      </c>
      <c r="G121" s="2">
        <v>10</v>
      </c>
      <c r="H121" s="3">
        <f>(D121/(E121*(G121/60)))</f>
        <v>29.069999999999997</v>
      </c>
      <c r="I121" s="3"/>
      <c r="J121" s="2"/>
      <c r="K121">
        <f t="shared" si="125"/>
        <v>4.2160986221899925</v>
      </c>
      <c r="L121" s="3"/>
      <c r="M121" s="2"/>
      <c r="N121" s="10" t="s">
        <v>13</v>
      </c>
      <c r="O121" s="10">
        <v>19.14</v>
      </c>
      <c r="P121" s="10">
        <v>9.73</v>
      </c>
      <c r="Q121" s="11">
        <f t="shared" si="126"/>
        <v>49.164054336468126</v>
      </c>
      <c r="R121" s="40">
        <f t="shared" si="127"/>
        <v>0.10167189132706375</v>
      </c>
      <c r="S121" s="40">
        <f>AVERAGE(R121:R123)</f>
        <v>0.12061999303378616</v>
      </c>
      <c r="T121" s="11">
        <f>R121/$S$111</f>
        <v>0.63007317665859119</v>
      </c>
      <c r="U121" s="11">
        <f>AVERAGE(T121:T123)</f>
        <v>0.74749688618317978</v>
      </c>
      <c r="V121" s="11">
        <f>_xlfn.STDEV.P(T121:T123)</f>
        <v>8.6372795247779521E-2</v>
      </c>
      <c r="W121" s="11">
        <f>AVERAGE(Q121:Q123)</f>
        <v>39.690003483106928</v>
      </c>
      <c r="X121" s="11">
        <f>_xlfn.STDEV.P(Q121:Q123)</f>
        <v>6.9687821806811199</v>
      </c>
      <c r="Y121" s="18">
        <f>Q121-$Q$111</f>
        <v>23.280478452892247</v>
      </c>
    </row>
    <row r="122" spans="1:27" x14ac:dyDescent="0.3">
      <c r="A122" t="s">
        <v>33</v>
      </c>
      <c r="B122" s="2">
        <v>6.64</v>
      </c>
      <c r="C122" s="2">
        <v>15.28</v>
      </c>
      <c r="D122" s="2">
        <f t="shared" si="129"/>
        <v>8.6400000000000001E-3</v>
      </c>
      <c r="E122" s="2">
        <f t="shared" si="122"/>
        <v>2E-3</v>
      </c>
      <c r="F122" s="2">
        <v>6.8949999999999996</v>
      </c>
      <c r="G122" s="2">
        <v>10</v>
      </c>
      <c r="H122" s="3">
        <f>(D122/(E122*(G122/60)))</f>
        <v>25.92</v>
      </c>
      <c r="I122" s="3"/>
      <c r="J122" s="2"/>
      <c r="K122">
        <f t="shared" si="125"/>
        <v>3.7592458303118206</v>
      </c>
      <c r="L122" s="3"/>
      <c r="M122" s="2"/>
      <c r="N122" s="10" t="s">
        <v>14</v>
      </c>
      <c r="O122" s="10">
        <v>19.14</v>
      </c>
      <c r="P122" s="10">
        <v>12.9</v>
      </c>
      <c r="Q122" s="11">
        <f t="shared" si="126"/>
        <v>32.601880877742943</v>
      </c>
      <c r="R122" s="40">
        <f t="shared" si="127"/>
        <v>0.13479623824451414</v>
      </c>
      <c r="S122" s="40"/>
      <c r="T122" s="11">
        <f t="shared" ref="T122:T123" si="130">R122/$S$111</f>
        <v>0.8353488159194068</v>
      </c>
      <c r="U122" s="11"/>
      <c r="V122" s="11"/>
      <c r="W122" s="10"/>
      <c r="X122" s="10"/>
      <c r="Y122" s="18">
        <f>Q122-$Q$112</f>
        <v>17.477140753002814</v>
      </c>
      <c r="Z122" s="18">
        <f>AVERAGE(Y121:Y123)</f>
        <v>20.372609165712614</v>
      </c>
      <c r="AA122">
        <f>_xlfn.STDEV.P(Y121:Y123)</f>
        <v>2.3692189220648685</v>
      </c>
    </row>
    <row r="123" spans="1:27" x14ac:dyDescent="0.3">
      <c r="A123" t="s">
        <v>15</v>
      </c>
      <c r="B123" s="2">
        <v>6.75</v>
      </c>
      <c r="C123" s="2">
        <v>13.11</v>
      </c>
      <c r="D123" s="2">
        <f t="shared" si="129"/>
        <v>6.3599999999999993E-3</v>
      </c>
      <c r="E123" s="2">
        <f t="shared" si="122"/>
        <v>2E-3</v>
      </c>
      <c r="F123" s="2">
        <v>6.8949999999999996</v>
      </c>
      <c r="G123" s="2">
        <v>10</v>
      </c>
      <c r="H123" s="3">
        <f t="shared" ref="H123:H125" si="131">(D123/(E123*(G123/60)))</f>
        <v>19.079999999999998</v>
      </c>
      <c r="I123" s="3">
        <f>AVERAGE(H123:H125)</f>
        <v>15.03</v>
      </c>
      <c r="J123" s="2">
        <f>_xlfn.STDEV.P(H123:H125)</f>
        <v>10.997936170027538</v>
      </c>
      <c r="K123">
        <f>H123/F123</f>
        <v>2.7672226250906453</v>
      </c>
      <c r="L123" s="3">
        <f>AVERAGE(K123:K125)</f>
        <v>2.1798404641044233</v>
      </c>
      <c r="M123" s="2">
        <f>_xlfn.STDEV.P(K123:K125)</f>
        <v>1.5950596330714339</v>
      </c>
      <c r="N123" s="10" t="s">
        <v>33</v>
      </c>
      <c r="O123" s="10">
        <v>19.14</v>
      </c>
      <c r="P123" s="10">
        <v>12</v>
      </c>
      <c r="Q123" s="11">
        <f t="shared" si="126"/>
        <v>37.304075235109714</v>
      </c>
      <c r="R123" s="40">
        <f t="shared" si="127"/>
        <v>0.12539184952978058</v>
      </c>
      <c r="S123" s="40"/>
      <c r="T123" s="11">
        <f t="shared" si="130"/>
        <v>0.77706866597154112</v>
      </c>
      <c r="U123" s="11"/>
      <c r="V123" s="11"/>
      <c r="W123" s="10"/>
      <c r="X123" s="10"/>
      <c r="Y123" s="18">
        <f>Q123-$Q$113</f>
        <v>20.360208291242781</v>
      </c>
    </row>
    <row r="124" spans="1:27" x14ac:dyDescent="0.3">
      <c r="A124" t="s">
        <v>16</v>
      </c>
      <c r="B124" s="2">
        <v>6.7</v>
      </c>
      <c r="C124" s="2">
        <v>15.37</v>
      </c>
      <c r="D124" s="2">
        <f t="shared" si="129"/>
        <v>8.6699999999999989E-3</v>
      </c>
      <c r="E124" s="2">
        <f t="shared" si="122"/>
        <v>2E-3</v>
      </c>
      <c r="F124" s="2">
        <v>6.8949999999999996</v>
      </c>
      <c r="G124" s="2">
        <v>10</v>
      </c>
      <c r="H124" s="3">
        <f t="shared" si="131"/>
        <v>26.009999999999998</v>
      </c>
      <c r="I124" s="3"/>
      <c r="J124" s="2"/>
      <c r="K124">
        <f t="shared" si="125"/>
        <v>3.7722987672226251</v>
      </c>
      <c r="N124" s="10" t="s">
        <v>15</v>
      </c>
      <c r="O124" s="10">
        <v>19.98</v>
      </c>
      <c r="P124" s="10">
        <v>11.36</v>
      </c>
      <c r="Q124" s="11">
        <f t="shared" si="126"/>
        <v>43.143143143143149</v>
      </c>
      <c r="R124" s="40">
        <f t="shared" si="127"/>
        <v>0.11371371371371371</v>
      </c>
      <c r="S124" s="40">
        <f>AVERAGE(R124:R126)</f>
        <v>0.12352352352352353</v>
      </c>
      <c r="T124" s="11">
        <f>R124/$S$114</f>
        <v>0.70292771157324474</v>
      </c>
      <c r="U124" s="11">
        <f>AVERAGE(T124:T126)</f>
        <v>0.76356760218431707</v>
      </c>
      <c r="V124" s="11">
        <f>_xlfn.STDEV.P(T124:T126)</f>
        <v>5.9975381784403745E-2</v>
      </c>
      <c r="W124" s="11">
        <f>AVERAGE(Q124:Q126)</f>
        <v>38.238238238238239</v>
      </c>
      <c r="X124" s="11">
        <f>_xlfn.STDEV.P(Q124:Q126)</f>
        <v>4.8511555895543568</v>
      </c>
      <c r="Y124" s="18">
        <f>Q124-$Q$114</f>
        <v>19.420711728404044</v>
      </c>
    </row>
    <row r="125" spans="1:27" x14ac:dyDescent="0.3">
      <c r="A125" t="s">
        <v>34</v>
      </c>
      <c r="B125" s="2"/>
      <c r="C125" s="2"/>
      <c r="D125" s="2">
        <f t="shared" si="129"/>
        <v>0</v>
      </c>
      <c r="E125" s="2">
        <f t="shared" si="122"/>
        <v>2E-3</v>
      </c>
      <c r="F125" s="2">
        <v>6.8949999999999996</v>
      </c>
      <c r="G125" s="2">
        <v>10</v>
      </c>
      <c r="H125" s="3">
        <f t="shared" si="131"/>
        <v>0</v>
      </c>
      <c r="I125" s="3"/>
      <c r="J125" s="2"/>
      <c r="K125">
        <f t="shared" si="125"/>
        <v>0</v>
      </c>
      <c r="N125" s="10" t="s">
        <v>16</v>
      </c>
      <c r="O125" s="10">
        <v>19.98</v>
      </c>
      <c r="P125" s="10">
        <v>13.66</v>
      </c>
      <c r="Q125" s="11">
        <f t="shared" si="126"/>
        <v>31.631631631631631</v>
      </c>
      <c r="R125" s="40">
        <f t="shared" si="127"/>
        <v>0.13673673673673675</v>
      </c>
      <c r="S125" s="40"/>
      <c r="T125" s="11">
        <f t="shared" ref="T125:T126" si="132">R125/$S$114</f>
        <v>0.84524582219106725</v>
      </c>
      <c r="U125" s="11"/>
      <c r="V125" s="11"/>
      <c r="W125" s="10"/>
      <c r="X125" s="10"/>
      <c r="Y125" s="18">
        <f>Q125-$Q$115</f>
        <v>17.322863476709628</v>
      </c>
      <c r="Z125" s="18">
        <f>AVERAGE(Y124:Y126)</f>
        <v>19.124019124019124</v>
      </c>
      <c r="AA125">
        <f>_xlfn.STDEV.P(Y124:Y126)</f>
        <v>1.36572291172813</v>
      </c>
    </row>
    <row r="126" spans="1:27" x14ac:dyDescent="0.3">
      <c r="A126" t="s">
        <v>21</v>
      </c>
      <c r="N126" s="10" t="s">
        <v>34</v>
      </c>
      <c r="O126" s="10">
        <v>19.98</v>
      </c>
      <c r="P126" s="10">
        <v>12</v>
      </c>
      <c r="Q126" s="11">
        <f t="shared" si="126"/>
        <v>39.93993993993994</v>
      </c>
      <c r="R126" s="40">
        <f t="shared" si="127"/>
        <v>0.12012012012012012</v>
      </c>
      <c r="S126" s="40"/>
      <c r="T126" s="11">
        <f t="shared" si="132"/>
        <v>0.74252927278863878</v>
      </c>
      <c r="U126" s="11"/>
      <c r="V126" s="11"/>
      <c r="W126" s="10"/>
      <c r="X126" s="10"/>
      <c r="Y126" s="18">
        <f>Q126-$Q$116</f>
        <v>20.628482166943705</v>
      </c>
    </row>
    <row r="127" spans="1:27" x14ac:dyDescent="0.3">
      <c r="A127" t="s">
        <v>11</v>
      </c>
      <c r="B127" s="2">
        <v>6.67</v>
      </c>
      <c r="C127" s="2">
        <v>10.96</v>
      </c>
      <c r="D127" s="2">
        <f>(C127-B127)/1000</f>
        <v>4.2900000000000013E-3</v>
      </c>
      <c r="E127" s="2">
        <f>20/(100^2)</f>
        <v>2E-3</v>
      </c>
      <c r="F127" s="2">
        <f>6.895*1.5</f>
        <v>10.342499999999999</v>
      </c>
      <c r="G127" s="2">
        <v>10</v>
      </c>
      <c r="H127" s="3">
        <f>(D127/(E127*(G127/60)))</f>
        <v>12.870000000000005</v>
      </c>
      <c r="I127" s="3">
        <f>AVERAGE(H127:H129)</f>
        <v>18.89</v>
      </c>
      <c r="J127" s="2">
        <f>_xlfn.STDEV.P(H127:H129)</f>
        <v>5.7366889404952053</v>
      </c>
      <c r="K127">
        <f>H127/F127</f>
        <v>1.2443799854967372</v>
      </c>
      <c r="L127" s="3">
        <f>AVERAGE(K127:K129)</f>
        <v>1.8264442832970758</v>
      </c>
      <c r="M127" s="2">
        <f>_xlfn.STDEV.P(K127:K129)</f>
        <v>0.55467139864589765</v>
      </c>
      <c r="N127" s="12" t="s">
        <v>21</v>
      </c>
      <c r="O127" s="12">
        <v>0</v>
      </c>
      <c r="P127" s="12">
        <v>0</v>
      </c>
      <c r="Q127" s="13" t="e">
        <f>(O127-P127)*100/O127</f>
        <v>#DIV/0!</v>
      </c>
      <c r="R127" s="13"/>
      <c r="S127" s="13"/>
      <c r="T127" s="13"/>
      <c r="U127" s="13"/>
      <c r="V127" s="13"/>
      <c r="W127" s="12"/>
      <c r="X127" s="12"/>
    </row>
    <row r="128" spans="1:27" x14ac:dyDescent="0.3">
      <c r="A128" t="s">
        <v>12</v>
      </c>
      <c r="B128" s="2">
        <v>6.68</v>
      </c>
      <c r="C128" s="2">
        <v>12.41</v>
      </c>
      <c r="D128" s="2">
        <f t="shared" ref="D128:D129" si="133">(C128-B128)/1000</f>
        <v>5.7300000000000007E-3</v>
      </c>
      <c r="E128" s="2">
        <f t="shared" ref="E128:E135" si="134">20/(100^2)</f>
        <v>2E-3</v>
      </c>
      <c r="F128" s="2">
        <f t="shared" ref="F128:F129" si="135">6.895*1.5</f>
        <v>10.342499999999999</v>
      </c>
      <c r="G128" s="2">
        <v>10</v>
      </c>
      <c r="H128" s="3">
        <f t="shared" ref="H128:H130" si="136">(D128/(E128*(G128/60)))</f>
        <v>17.190000000000001</v>
      </c>
      <c r="I128" s="3"/>
      <c r="J128" s="3"/>
      <c r="K128">
        <f t="shared" ref="K128:K135" si="137">H128/F128</f>
        <v>1.6620739666424948</v>
      </c>
      <c r="L128" s="3"/>
      <c r="M128" s="3"/>
      <c r="N128" s="12" t="s">
        <v>11</v>
      </c>
      <c r="O128" s="12">
        <v>18.71</v>
      </c>
      <c r="P128" s="12">
        <v>3.84</v>
      </c>
      <c r="Q128" s="13">
        <f t="shared" ref="Q128:Q136" si="138">(O128-P128)*100/O128</f>
        <v>79.4762159273116</v>
      </c>
      <c r="R128" s="39">
        <f>((100-Q128)/100)*0.02*10</f>
        <v>4.10475681453768E-2</v>
      </c>
      <c r="S128" s="39">
        <f>AVERAGE(R128:R130)</f>
        <v>5.8221984678425077E-2</v>
      </c>
      <c r="T128" s="13">
        <f>R128/$S$108</f>
        <v>0.3527487369221104</v>
      </c>
      <c r="U128" s="13">
        <f>AVERAGE(T128:T130)</f>
        <v>0.50033978830792403</v>
      </c>
      <c r="V128" s="13">
        <f>_xlfn.STDEV.P(T128:T130)</f>
        <v>0.11141252536975114</v>
      </c>
      <c r="W128" s="13">
        <f>AVERAGE(Q128:Q130)</f>
        <v>70.88900766078747</v>
      </c>
      <c r="X128" s="13">
        <f>_xlfn.STDEV.P(Q128:Q130)</f>
        <v>6.4822531573985387</v>
      </c>
      <c r="Y128" s="18">
        <f>Q128-$Q$108</f>
        <v>35.81351546171409</v>
      </c>
    </row>
    <row r="129" spans="1:29" x14ac:dyDescent="0.3">
      <c r="A129" t="s">
        <v>32</v>
      </c>
      <c r="B129" s="2">
        <v>6.65</v>
      </c>
      <c r="C129" s="2">
        <v>15.52</v>
      </c>
      <c r="D129" s="2">
        <f t="shared" si="133"/>
        <v>8.8699999999999994E-3</v>
      </c>
      <c r="E129" s="2">
        <f t="shared" si="134"/>
        <v>2E-3</v>
      </c>
      <c r="F129" s="2">
        <f t="shared" si="135"/>
        <v>10.342499999999999</v>
      </c>
      <c r="G129" s="2">
        <v>10</v>
      </c>
      <c r="H129" s="3">
        <f t="shared" si="136"/>
        <v>26.61</v>
      </c>
      <c r="I129" s="3"/>
      <c r="J129" s="3"/>
      <c r="K129">
        <f t="shared" si="137"/>
        <v>2.5728788977519943</v>
      </c>
      <c r="L129" s="3"/>
      <c r="M129" s="3"/>
      <c r="N129" s="12" t="s">
        <v>12</v>
      </c>
      <c r="O129" s="12">
        <v>18.71</v>
      </c>
      <c r="P129" s="12">
        <v>5.73</v>
      </c>
      <c r="Q129" s="13">
        <f t="shared" si="138"/>
        <v>69.374665954035265</v>
      </c>
      <c r="R129" s="39">
        <f t="shared" ref="R129:R136" si="139">((100-Q129)/100)*0.02*10</f>
        <v>6.1250668091929472E-2</v>
      </c>
      <c r="S129" s="39"/>
      <c r="T129" s="13">
        <f t="shared" ref="T129:T130" si="140">R129/$S$108</f>
        <v>0.52636725587596178</v>
      </c>
      <c r="U129" s="13"/>
      <c r="V129" s="13"/>
      <c r="W129" s="13"/>
      <c r="X129" s="13"/>
      <c r="Y129" s="18">
        <f>Q129-$Q$109</f>
        <v>26.384495234945767</v>
      </c>
      <c r="Z129" s="18">
        <f>AVERAGE(Y128:Y130)</f>
        <v>29.071452909968357</v>
      </c>
      <c r="AA129">
        <f>_xlfn.STDEV.P(Y128:Y130)</f>
        <v>4.7999661304443686</v>
      </c>
    </row>
    <row r="130" spans="1:29" x14ac:dyDescent="0.3">
      <c r="A130" t="s">
        <v>13</v>
      </c>
      <c r="B130" s="2">
        <v>6.68</v>
      </c>
      <c r="C130" s="2">
        <v>12.7</v>
      </c>
      <c r="D130" s="2">
        <f>(C130-B130)/1000</f>
        <v>6.0199999999999993E-3</v>
      </c>
      <c r="E130" s="2">
        <f t="shared" si="134"/>
        <v>2E-3</v>
      </c>
      <c r="F130" s="2">
        <v>6.8949999999999996</v>
      </c>
      <c r="G130" s="2">
        <v>10</v>
      </c>
      <c r="H130" s="3">
        <f t="shared" si="136"/>
        <v>18.059999999999999</v>
      </c>
      <c r="I130" s="3">
        <f>AVERAGE(H130:H132)</f>
        <v>24.14</v>
      </c>
      <c r="J130" s="2">
        <f>_xlfn.STDEV.P(H130:H132)</f>
        <v>4.551461303801247</v>
      </c>
      <c r="K130">
        <f>H130/F130</f>
        <v>2.6192893401015227</v>
      </c>
      <c r="L130" s="3">
        <f>AVERAGE(K130:K132)</f>
        <v>3.5010877447425677</v>
      </c>
      <c r="M130" s="2">
        <f>_xlfn.STDEV.P(K130:K132)</f>
        <v>0.66011041389430392</v>
      </c>
      <c r="N130" s="12" t="s">
        <v>32</v>
      </c>
      <c r="O130" s="12">
        <v>18.71</v>
      </c>
      <c r="P130" s="12">
        <v>6.77</v>
      </c>
      <c r="Q130" s="13">
        <f t="shared" si="138"/>
        <v>63.816141101015511</v>
      </c>
      <c r="R130" s="39">
        <f t="shared" si="139"/>
        <v>7.2367717797968981E-2</v>
      </c>
      <c r="S130" s="39"/>
      <c r="T130" s="13">
        <f t="shared" si="140"/>
        <v>0.62190337212569968</v>
      </c>
      <c r="U130" s="13"/>
      <c r="V130" s="13"/>
      <c r="W130" s="13"/>
      <c r="X130" s="13"/>
      <c r="Y130" s="18">
        <f>Q130-$Q$110</f>
        <v>25.016348033245215</v>
      </c>
    </row>
    <row r="131" spans="1:29" x14ac:dyDescent="0.3">
      <c r="A131" t="s">
        <v>14</v>
      </c>
      <c r="B131" s="2">
        <v>6.67</v>
      </c>
      <c r="C131" s="2">
        <v>16.34</v>
      </c>
      <c r="D131" s="2">
        <f t="shared" ref="D131:D135" si="141">(C131-B131)/1000</f>
        <v>9.6699999999999998E-3</v>
      </c>
      <c r="E131" s="2">
        <f t="shared" si="134"/>
        <v>2E-3</v>
      </c>
      <c r="F131" s="2">
        <v>6.8949999999999996</v>
      </c>
      <c r="G131" s="2">
        <v>10</v>
      </c>
      <c r="H131" s="3">
        <f>(D131/(E131*(G131/60)))</f>
        <v>29.01</v>
      </c>
      <c r="I131" s="3"/>
      <c r="J131" s="2"/>
      <c r="K131">
        <f t="shared" si="137"/>
        <v>4.2073966642494565</v>
      </c>
      <c r="L131" s="3"/>
      <c r="M131" s="2"/>
      <c r="N131" s="12" t="s">
        <v>13</v>
      </c>
      <c r="O131" s="12">
        <v>18.760000000000002</v>
      </c>
      <c r="P131" s="12">
        <v>7.77</v>
      </c>
      <c r="Q131" s="13">
        <f t="shared" si="138"/>
        <v>58.582089552238813</v>
      </c>
      <c r="R131" s="39">
        <f t="shared" si="139"/>
        <v>8.2835820895522369E-2</v>
      </c>
      <c r="S131" s="39">
        <f>AVERAGE(R131:R133)</f>
        <v>0.1020966595593461</v>
      </c>
      <c r="T131" s="13">
        <f>R131/$S$111</f>
        <v>0.51334373868257999</v>
      </c>
      <c r="U131" s="13">
        <f>AVERAGE(T131:T133)</f>
        <v>0.63270551747535497</v>
      </c>
      <c r="V131" s="13">
        <f>_xlfn.STDEV.P(T131:T133)</f>
        <v>9.118950798859507E-2</v>
      </c>
      <c r="W131" s="13">
        <f>AVERAGE(Q131:Q133)</f>
        <v>48.951670220326946</v>
      </c>
      <c r="X131" s="13">
        <f>_xlfn.STDEV.P(Q131:Q133)</f>
        <v>7.3574071154346443</v>
      </c>
      <c r="Y131" s="18">
        <f>Q131-$Q$111</f>
        <v>32.698513668662933</v>
      </c>
    </row>
    <row r="132" spans="1:29" x14ac:dyDescent="0.3">
      <c r="A132" t="s">
        <v>33</v>
      </c>
      <c r="B132" s="2">
        <v>6.68</v>
      </c>
      <c r="C132" s="2">
        <v>15.13</v>
      </c>
      <c r="D132" s="2">
        <f t="shared" si="141"/>
        <v>8.4500000000000009E-3</v>
      </c>
      <c r="E132" s="2">
        <f t="shared" si="134"/>
        <v>2E-3</v>
      </c>
      <c r="F132" s="2">
        <v>6.8949999999999996</v>
      </c>
      <c r="G132" s="2">
        <v>10</v>
      </c>
      <c r="H132" s="3">
        <f>(D132/(E132*(G132/60)))</f>
        <v>25.350000000000005</v>
      </c>
      <c r="I132" s="3"/>
      <c r="J132" s="2"/>
      <c r="K132">
        <f t="shared" si="137"/>
        <v>3.6765772298767234</v>
      </c>
      <c r="L132" s="3"/>
      <c r="M132" s="2"/>
      <c r="N132" s="12" t="s">
        <v>14</v>
      </c>
      <c r="O132" s="12">
        <v>18.760000000000002</v>
      </c>
      <c r="P132" s="12">
        <v>11.12</v>
      </c>
      <c r="Q132" s="13">
        <f t="shared" si="138"/>
        <v>40.724946695095959</v>
      </c>
      <c r="R132" s="39">
        <f t="shared" si="139"/>
        <v>0.1185501066098081</v>
      </c>
      <c r="S132" s="39"/>
      <c r="T132" s="13">
        <f t="shared" ref="T132:T133" si="142">R132/$S$111</f>
        <v>0.73466954622268865</v>
      </c>
      <c r="U132" s="13"/>
      <c r="V132" s="13"/>
      <c r="W132" s="12"/>
      <c r="X132" s="12"/>
      <c r="Y132" s="18">
        <f>Q132-$Q$112</f>
        <v>25.60020657035583</v>
      </c>
      <c r="Z132" s="18">
        <f>AVERAGE(Y131:Y133)</f>
        <v>29.634275902932632</v>
      </c>
      <c r="AA132">
        <f>_xlfn.STDEV.P(Y131:Y133)</f>
        <v>2.9779098784783269</v>
      </c>
    </row>
    <row r="133" spans="1:29" x14ac:dyDescent="0.3">
      <c r="A133" t="s">
        <v>15</v>
      </c>
      <c r="B133" s="2">
        <v>6.69</v>
      </c>
      <c r="C133" s="2">
        <v>13.05</v>
      </c>
      <c r="D133" s="2">
        <f t="shared" si="141"/>
        <v>6.3600000000000002E-3</v>
      </c>
      <c r="E133" s="2">
        <f t="shared" si="134"/>
        <v>2E-3</v>
      </c>
      <c r="F133" s="2">
        <v>6.8949999999999996</v>
      </c>
      <c r="G133" s="2">
        <v>10</v>
      </c>
      <c r="H133" s="3">
        <f t="shared" ref="H133:H135" si="143">(D133/(E133*(G133/60)))</f>
        <v>19.080000000000002</v>
      </c>
      <c r="I133" s="3">
        <f>AVERAGE(H133:H135)</f>
        <v>14.870000000000005</v>
      </c>
      <c r="J133" s="2">
        <f>_xlfn.STDEV.P(H133:H135)</f>
        <v>10.839381901197136</v>
      </c>
      <c r="K133">
        <f>H133/F133</f>
        <v>2.7672226250906458</v>
      </c>
      <c r="L133" s="3">
        <f>AVERAGE(K133:K135)</f>
        <v>2.1566352429296596</v>
      </c>
      <c r="M133" s="2">
        <f>_xlfn.STDEV.P(K133:K135)</f>
        <v>1.5720640900938563</v>
      </c>
      <c r="N133" s="12" t="s">
        <v>33</v>
      </c>
      <c r="O133" s="12">
        <v>18.760000000000002</v>
      </c>
      <c r="P133" s="12">
        <v>9.84</v>
      </c>
      <c r="Q133" s="13">
        <f t="shared" si="138"/>
        <v>47.547974413646067</v>
      </c>
      <c r="R133" s="39">
        <f t="shared" si="139"/>
        <v>0.10490405117270786</v>
      </c>
      <c r="S133" s="39"/>
      <c r="T133" s="13">
        <f t="shared" si="142"/>
        <v>0.65010326752079628</v>
      </c>
      <c r="U133" s="13"/>
      <c r="V133" s="13"/>
      <c r="W133" s="12"/>
      <c r="X133" s="12"/>
      <c r="Y133" s="18">
        <f>Q133-$Q$113</f>
        <v>30.604107469779134</v>
      </c>
    </row>
    <row r="134" spans="1:29" x14ac:dyDescent="0.3">
      <c r="A134" t="s">
        <v>16</v>
      </c>
      <c r="B134" s="2">
        <v>6.7</v>
      </c>
      <c r="C134" s="2">
        <v>15.21</v>
      </c>
      <c r="D134" s="2">
        <f t="shared" si="141"/>
        <v>8.5100000000000019E-3</v>
      </c>
      <c r="E134" s="2">
        <f t="shared" si="134"/>
        <v>2E-3</v>
      </c>
      <c r="F134" s="2">
        <v>6.8949999999999996</v>
      </c>
      <c r="G134" s="2">
        <v>10</v>
      </c>
      <c r="H134" s="3">
        <f t="shared" si="143"/>
        <v>25.530000000000008</v>
      </c>
      <c r="I134" s="3"/>
      <c r="J134" s="2"/>
      <c r="K134">
        <f t="shared" si="137"/>
        <v>3.7026831036983334</v>
      </c>
      <c r="N134" s="12" t="s">
        <v>15</v>
      </c>
      <c r="O134" s="12">
        <v>18.36</v>
      </c>
      <c r="P134" s="12">
        <v>9.59</v>
      </c>
      <c r="Q134" s="13">
        <f t="shared" si="138"/>
        <v>47.766884531590414</v>
      </c>
      <c r="R134" s="39">
        <f t="shared" si="139"/>
        <v>0.10446623093681917</v>
      </c>
      <c r="S134" s="39">
        <f>AVERAGE(R134:R136)</f>
        <v>0.10951343500363109</v>
      </c>
      <c r="T134" s="13">
        <f>R134/$S$114</f>
        <v>0.64576387711664873</v>
      </c>
      <c r="U134" s="13">
        <f>AVERAGE(T134:T136)</f>
        <v>0.67696345268815195</v>
      </c>
      <c r="V134" s="13">
        <f>_xlfn.STDEV.P(T134:T136)</f>
        <v>2.7059917222515086E-2</v>
      </c>
      <c r="W134" s="13">
        <f>AVERAGE(Q134:Q136)</f>
        <v>45.243282498184463</v>
      </c>
      <c r="X134" s="13">
        <f>_xlfn.STDEV.P(Q134:Q136)</f>
        <v>2.1887625352477182</v>
      </c>
      <c r="Y134" s="18">
        <f>Q134-$Q$114</f>
        <v>24.044453116851308</v>
      </c>
    </row>
    <row r="135" spans="1:29" x14ac:dyDescent="0.3">
      <c r="A135" t="s">
        <v>34</v>
      </c>
      <c r="B135" s="2"/>
      <c r="C135" s="2"/>
      <c r="D135" s="2">
        <f t="shared" si="141"/>
        <v>0</v>
      </c>
      <c r="E135" s="2">
        <f t="shared" si="134"/>
        <v>2E-3</v>
      </c>
      <c r="F135" s="2">
        <v>6.8949999999999996</v>
      </c>
      <c r="G135" s="2">
        <v>10</v>
      </c>
      <c r="H135" s="3">
        <f t="shared" si="143"/>
        <v>0</v>
      </c>
      <c r="I135" s="3"/>
      <c r="J135" s="2"/>
      <c r="K135">
        <f t="shared" si="137"/>
        <v>0</v>
      </c>
      <c r="N135" s="12" t="s">
        <v>16</v>
      </c>
      <c r="O135" s="12">
        <v>18.36</v>
      </c>
      <c r="P135" s="12">
        <v>10.57</v>
      </c>
      <c r="Q135" s="13">
        <f t="shared" si="138"/>
        <v>42.429193899782128</v>
      </c>
      <c r="R135" s="39">
        <f t="shared" si="139"/>
        <v>0.11514161220043576</v>
      </c>
      <c r="S135" s="39"/>
      <c r="T135" s="13">
        <f t="shared" ref="T135:T136" si="144">R135/$S$114</f>
        <v>0.71175434631105106</v>
      </c>
      <c r="U135" s="13"/>
      <c r="V135" s="13"/>
      <c r="W135" s="12"/>
      <c r="X135" s="12"/>
      <c r="Y135" s="18">
        <f>Q135-$Q$115</f>
        <v>28.120425744860128</v>
      </c>
      <c r="Z135" s="18">
        <f>AVERAGE(Y134:Y136)</f>
        <v>26.129063383965342</v>
      </c>
      <c r="AA135">
        <f>_xlfn.STDEV.P(Y134:Y136)</f>
        <v>1.6653147040084222</v>
      </c>
      <c r="AC135">
        <v>24.515382163223411</v>
      </c>
    </row>
    <row r="136" spans="1:29" x14ac:dyDescent="0.3">
      <c r="A136" t="s">
        <v>22</v>
      </c>
      <c r="N136" s="12" t="s">
        <v>34</v>
      </c>
      <c r="O136" s="12">
        <v>18.36</v>
      </c>
      <c r="P136" s="12">
        <v>10</v>
      </c>
      <c r="Q136" s="13">
        <f t="shared" si="138"/>
        <v>45.533769063180827</v>
      </c>
      <c r="R136" s="39">
        <f t="shared" si="139"/>
        <v>0.10893246187363835</v>
      </c>
      <c r="S136" s="39"/>
      <c r="T136" s="13">
        <f t="shared" si="144"/>
        <v>0.67337213463675583</v>
      </c>
      <c r="U136" s="13"/>
      <c r="V136" s="13"/>
      <c r="W136" s="12"/>
      <c r="X136" s="12"/>
      <c r="Y136" s="18">
        <f>Q136-$Q$116</f>
        <v>26.222311290184592</v>
      </c>
    </row>
    <row r="137" spans="1:29" x14ac:dyDescent="0.3">
      <c r="A137" t="s">
        <v>11</v>
      </c>
      <c r="B137" s="2">
        <v>6.68</v>
      </c>
      <c r="C137" s="2">
        <v>10.85</v>
      </c>
      <c r="D137" s="2">
        <f>(C137-B137)/1000</f>
        <v>4.1700000000000001E-3</v>
      </c>
      <c r="E137" s="2">
        <f>20/(100^2)</f>
        <v>2E-3</v>
      </c>
      <c r="F137" s="2">
        <f>6.895*1.5</f>
        <v>10.342499999999999</v>
      </c>
      <c r="G137" s="2">
        <v>10</v>
      </c>
      <c r="H137" s="3">
        <f>(D137/(E137*(G137/60)))</f>
        <v>12.510000000000002</v>
      </c>
      <c r="I137" s="3">
        <f>AVERAGE(H137:H139)</f>
        <v>18.510000000000002</v>
      </c>
      <c r="J137" s="2">
        <f>_xlfn.STDEV.P(H137:H139)</f>
        <v>5.5330823236239706</v>
      </c>
      <c r="K137">
        <f>H137/F137</f>
        <v>1.2095721537345905</v>
      </c>
      <c r="L137" s="3">
        <f>AVERAGE(K137:K139)</f>
        <v>1.7897026831036984</v>
      </c>
      <c r="M137" s="2">
        <f>_xlfn.STDEV.P(K137:K139)</f>
        <v>0.53498499624113804</v>
      </c>
      <c r="N137" s="14" t="s">
        <v>22</v>
      </c>
      <c r="O137" s="14">
        <v>0</v>
      </c>
      <c r="P137" s="14">
        <v>0</v>
      </c>
      <c r="Q137" s="15" t="e">
        <f>(O137-P137)*100/O137</f>
        <v>#DIV/0!</v>
      </c>
      <c r="R137" s="15"/>
      <c r="S137" s="15"/>
      <c r="T137" s="15"/>
      <c r="U137" s="15"/>
      <c r="V137" s="15"/>
      <c r="W137" s="14"/>
      <c r="X137" s="14"/>
    </row>
    <row r="138" spans="1:29" x14ac:dyDescent="0.3">
      <c r="A138" t="s">
        <v>12</v>
      </c>
      <c r="B138" s="2">
        <v>6.7</v>
      </c>
      <c r="C138" s="2">
        <v>12.42</v>
      </c>
      <c r="D138" s="2">
        <f>(C138-B138)/1000</f>
        <v>5.7199999999999994E-3</v>
      </c>
      <c r="E138" s="2">
        <f t="shared" ref="E138:E145" si="145">20/(100^2)</f>
        <v>2E-3</v>
      </c>
      <c r="F138" s="2">
        <f t="shared" ref="F138:F139" si="146">6.895*1.5</f>
        <v>10.342499999999999</v>
      </c>
      <c r="G138" s="2">
        <v>10</v>
      </c>
      <c r="H138" s="3">
        <f>(D138/(E138*(G138/60)))</f>
        <v>17.16</v>
      </c>
      <c r="I138" s="3"/>
      <c r="J138" s="3"/>
      <c r="K138">
        <f>H138/F138</f>
        <v>1.659173313995649</v>
      </c>
      <c r="L138" s="3"/>
      <c r="M138" s="3"/>
      <c r="N138" s="14" t="s">
        <v>11</v>
      </c>
      <c r="O138" s="14">
        <v>18.309999999999999</v>
      </c>
      <c r="P138" s="14">
        <v>2.61</v>
      </c>
      <c r="Q138" s="15">
        <f t="shared" ref="Q138:Q146" si="147">(O138-P138)*100/O138</f>
        <v>85.745494265428732</v>
      </c>
      <c r="R138" s="38">
        <f>((100-Q138)/100)*0.02*10</f>
        <v>2.8509011469142538E-2</v>
      </c>
      <c r="S138" s="38">
        <f>AVERAGE(R138:R140)</f>
        <v>4.4966320771891506E-2</v>
      </c>
      <c r="T138" s="15">
        <f>R138/$S$108</f>
        <v>0.24499667680728748</v>
      </c>
      <c r="U138" s="15">
        <f>AVERAGE(T138:T140)</f>
        <v>0.38642515435121344</v>
      </c>
      <c r="V138" s="15">
        <f>_xlfn.STDEV.P(T138:T140)</f>
        <v>0.12019643425544475</v>
      </c>
      <c r="W138" s="15">
        <f>AVERAGE(Q138:Q140)</f>
        <v>77.516839614054263</v>
      </c>
      <c r="X138" s="15">
        <f>_xlfn.STDEV.P(Q138:Q140)</f>
        <v>6.9933224552141713</v>
      </c>
      <c r="Y138" s="18">
        <f>Q138-$Q$108</f>
        <v>42.082793799831222</v>
      </c>
      <c r="AC138">
        <v>33.00945057314312</v>
      </c>
    </row>
    <row r="139" spans="1:29" x14ac:dyDescent="0.3">
      <c r="A139" t="s">
        <v>32</v>
      </c>
      <c r="B139" s="2">
        <v>6.66</v>
      </c>
      <c r="C139" s="2">
        <v>15.28</v>
      </c>
      <c r="D139" s="2">
        <f>(C139-B139)/1000</f>
        <v>8.6199999999999992E-3</v>
      </c>
      <c r="E139" s="2">
        <f t="shared" si="145"/>
        <v>2E-3</v>
      </c>
      <c r="F139" s="2">
        <f t="shared" si="146"/>
        <v>10.342499999999999</v>
      </c>
      <c r="G139" s="2">
        <v>10</v>
      </c>
      <c r="H139" s="3">
        <f>(D139/(E139*(G139/60)))</f>
        <v>25.86</v>
      </c>
      <c r="I139" s="3"/>
      <c r="J139" s="3"/>
      <c r="K139">
        <f>H139/F139</f>
        <v>2.5003625815808559</v>
      </c>
      <c r="L139" s="3"/>
      <c r="M139" s="3"/>
      <c r="N139" s="14" t="s">
        <v>12</v>
      </c>
      <c r="O139" s="14">
        <v>18.309999999999999</v>
      </c>
      <c r="P139" s="14">
        <v>4</v>
      </c>
      <c r="Q139" s="15">
        <f t="shared" si="147"/>
        <v>78.154014199890767</v>
      </c>
      <c r="R139" s="38">
        <f t="shared" ref="R139:R146" si="148">((100-Q139)/100)*0.02*10</f>
        <v>4.3691971600218468E-2</v>
      </c>
      <c r="S139" s="38"/>
      <c r="T139" s="15">
        <f t="shared" ref="T139:T140" si="149">R139/$S$108</f>
        <v>0.37547383418741392</v>
      </c>
      <c r="U139" s="15"/>
      <c r="V139" s="15"/>
      <c r="W139" s="15"/>
      <c r="X139" s="15"/>
      <c r="Y139" s="18">
        <f>Q139-$Q$109</f>
        <v>35.163843480801269</v>
      </c>
      <c r="Z139" s="18">
        <f>AVERAGE(Y138:Y140)</f>
        <v>35.699284863235142</v>
      </c>
      <c r="AA139">
        <f>_xlfn.STDEV.P(Y138:Y140)</f>
        <v>5.0078530974084368</v>
      </c>
    </row>
    <row r="140" spans="1:29" x14ac:dyDescent="0.3">
      <c r="A140" t="s">
        <v>13</v>
      </c>
      <c r="B140" s="2">
        <v>6.7</v>
      </c>
      <c r="C140" s="2">
        <v>21.64</v>
      </c>
      <c r="D140" s="2">
        <f>(C140-B140)/1000</f>
        <v>1.4940000000000002E-2</v>
      </c>
      <c r="E140" s="2">
        <f t="shared" si="145"/>
        <v>2E-3</v>
      </c>
      <c r="F140" s="2">
        <v>6.8949999999999996</v>
      </c>
      <c r="G140" s="2">
        <v>10</v>
      </c>
      <c r="H140" s="3">
        <f t="shared" ref="H140" si="150">(D140/(E140*(G140/60)))</f>
        <v>44.820000000000007</v>
      </c>
      <c r="I140" s="3">
        <f>AVERAGE(H140:H142)</f>
        <v>32.710000000000008</v>
      </c>
      <c r="J140" s="2">
        <f>_xlfn.STDEV.P(H140:H142)</f>
        <v>8.6741800765259534</v>
      </c>
      <c r="K140">
        <f>H140/F140</f>
        <v>6.5003625815808572</v>
      </c>
      <c r="L140" s="3">
        <f>AVERAGE(K140:K142)</f>
        <v>4.7440174039158824</v>
      </c>
      <c r="M140" s="2">
        <f>_xlfn.STDEV.P(K140:K142)</f>
        <v>1.2580391699094935</v>
      </c>
      <c r="N140" s="14" t="s">
        <v>32</v>
      </c>
      <c r="O140" s="14">
        <v>18.309999999999999</v>
      </c>
      <c r="P140" s="14">
        <v>5.74</v>
      </c>
      <c r="Q140" s="15">
        <f t="shared" si="147"/>
        <v>68.651010376843246</v>
      </c>
      <c r="R140" s="38">
        <f t="shared" si="148"/>
        <v>6.2697979246313512E-2</v>
      </c>
      <c r="S140" s="38"/>
      <c r="T140" s="15">
        <f t="shared" si="149"/>
        <v>0.53880495205893908</v>
      </c>
      <c r="U140" s="15"/>
      <c r="V140" s="15"/>
      <c r="W140" s="15"/>
      <c r="X140" s="15"/>
      <c r="Y140" s="18">
        <f>Q140-$Q$110</f>
        <v>29.85121730907295</v>
      </c>
    </row>
    <row r="141" spans="1:29" x14ac:dyDescent="0.3">
      <c r="A141" t="s">
        <v>14</v>
      </c>
      <c r="B141" s="2">
        <v>6.71</v>
      </c>
      <c r="C141" s="2">
        <v>16.16</v>
      </c>
      <c r="D141" s="2">
        <f t="shared" ref="D141:D143" si="151">(C141-B141)/1000</f>
        <v>9.4500000000000001E-3</v>
      </c>
      <c r="E141" s="2">
        <f t="shared" si="145"/>
        <v>2E-3</v>
      </c>
      <c r="F141" s="2">
        <v>6.8949999999999996</v>
      </c>
      <c r="G141" s="2">
        <v>10</v>
      </c>
      <c r="H141" s="3">
        <f>(D141/(E141*(G141/60)))</f>
        <v>28.35</v>
      </c>
      <c r="I141" s="3"/>
      <c r="J141" s="2"/>
      <c r="K141">
        <f t="shared" ref="K141:K142" si="152">H141/F141</f>
        <v>4.1116751269035534</v>
      </c>
      <c r="L141" s="3"/>
      <c r="M141" s="2"/>
      <c r="N141" s="14" t="s">
        <v>13</v>
      </c>
      <c r="O141" s="14">
        <v>18.420000000000002</v>
      </c>
      <c r="P141" s="14">
        <v>5.6</v>
      </c>
      <c r="Q141" s="15">
        <f t="shared" si="147"/>
        <v>69.598262757871879</v>
      </c>
      <c r="R141" s="38">
        <f t="shared" si="148"/>
        <v>6.0803474484256236E-2</v>
      </c>
      <c r="S141" s="38">
        <f>AVERAGE(R141:R143)</f>
        <v>8.4545783568584873E-2</v>
      </c>
      <c r="T141" s="15">
        <f>R141/$S$111</f>
        <v>0.37680658656122712</v>
      </c>
      <c r="U141" s="15">
        <f>AVERAGE(T141:T143)</f>
        <v>0.52394058702799196</v>
      </c>
      <c r="V141" s="15">
        <f>_xlfn.STDEV.P(T141:T143)</f>
        <v>0.11739885983958251</v>
      </c>
      <c r="W141" s="15">
        <f>AVERAGE(Q141:Q143)</f>
        <v>57.727108215707567</v>
      </c>
      <c r="X141" s="15">
        <f>_xlfn.STDEV.P(Q141:Q143)</f>
        <v>9.4720459160245003</v>
      </c>
      <c r="Y141" s="18">
        <f>Q141-$Q$111</f>
        <v>43.714686874296</v>
      </c>
      <c r="AC141">
        <v>38.902858512614607</v>
      </c>
    </row>
    <row r="142" spans="1:29" x14ac:dyDescent="0.3">
      <c r="A142" t="s">
        <v>33</v>
      </c>
      <c r="B142" s="2">
        <v>6.67</v>
      </c>
      <c r="C142" s="2">
        <v>14.99</v>
      </c>
      <c r="D142" s="2">
        <f t="shared" si="151"/>
        <v>8.320000000000001E-3</v>
      </c>
      <c r="E142" s="2">
        <f t="shared" si="145"/>
        <v>2E-3</v>
      </c>
      <c r="F142" s="2">
        <v>6.8949999999999996</v>
      </c>
      <c r="G142" s="2">
        <v>10</v>
      </c>
      <c r="H142" s="3">
        <f>(D142/(E142*(G142/60)))</f>
        <v>24.960000000000004</v>
      </c>
      <c r="I142" s="3"/>
      <c r="J142" s="2"/>
      <c r="K142">
        <f t="shared" si="152"/>
        <v>3.6200145032632349</v>
      </c>
      <c r="L142" s="3"/>
      <c r="M142" s="2"/>
      <c r="N142" s="14" t="s">
        <v>14</v>
      </c>
      <c r="O142" s="14">
        <v>18.420000000000002</v>
      </c>
      <c r="P142" s="14">
        <v>9.8699999999999992</v>
      </c>
      <c r="Q142" s="15">
        <f t="shared" si="147"/>
        <v>46.416938110749193</v>
      </c>
      <c r="R142" s="38">
        <f t="shared" si="148"/>
        <v>0.10716612377850161</v>
      </c>
      <c r="S142" s="38"/>
      <c r="T142" s="15">
        <f t="shared" ref="T142:T143" si="153">R142/$S$111</f>
        <v>0.66412160881416271</v>
      </c>
      <c r="U142" s="15"/>
      <c r="V142" s="15"/>
      <c r="W142" s="14"/>
      <c r="X142" s="14"/>
      <c r="Y142" s="18">
        <f>Q142-$Q$112</f>
        <v>31.292197986009064</v>
      </c>
      <c r="Z142" s="18">
        <f>AVERAGE(Y141:Y143)</f>
        <v>38.40971389831325</v>
      </c>
      <c r="AA142">
        <f>_xlfn.STDEV.P(Y141:Y143)</f>
        <v>5.230904412999708</v>
      </c>
    </row>
    <row r="143" spans="1:29" x14ac:dyDescent="0.3">
      <c r="A143" t="s">
        <v>15</v>
      </c>
      <c r="B143" s="2">
        <v>6.71</v>
      </c>
      <c r="C143" s="2">
        <v>16.170000000000002</v>
      </c>
      <c r="D143" s="2">
        <f t="shared" si="151"/>
        <v>9.4600000000000014E-3</v>
      </c>
      <c r="E143" s="2">
        <f t="shared" si="145"/>
        <v>2E-3</v>
      </c>
      <c r="F143" s="2">
        <v>6.8949999999999996</v>
      </c>
      <c r="G143" s="2">
        <v>15</v>
      </c>
      <c r="H143" s="3">
        <f t="shared" ref="H143" si="154">(D143/(E143*(G143/60)))</f>
        <v>18.920000000000002</v>
      </c>
      <c r="I143" s="3">
        <f>AVERAGE(H143:H145)</f>
        <v>14.366666666666667</v>
      </c>
      <c r="J143" s="2">
        <f>_xlfn.STDEV.P(H143:H145)</f>
        <v>10.383247190653908</v>
      </c>
      <c r="K143">
        <f>H143/F143</f>
        <v>2.7440174039158816</v>
      </c>
      <c r="L143" s="3">
        <f>AVERAGE(K143:K145)</f>
        <v>2.0836354846507135</v>
      </c>
      <c r="M143" s="2">
        <f>_xlfn.STDEV.P(K143:K145)</f>
        <v>1.5059096723210885</v>
      </c>
      <c r="N143" s="14" t="s">
        <v>33</v>
      </c>
      <c r="O143" s="14">
        <v>18.420000000000002</v>
      </c>
      <c r="P143" s="14">
        <v>7.89</v>
      </c>
      <c r="Q143" s="15">
        <f t="shared" si="147"/>
        <v>57.166123778501621</v>
      </c>
      <c r="R143" s="38">
        <f t="shared" si="148"/>
        <v>8.5667752442996764E-2</v>
      </c>
      <c r="S143" s="38"/>
      <c r="T143" s="15">
        <f t="shared" si="153"/>
        <v>0.53089356570858626</v>
      </c>
      <c r="U143" s="15"/>
      <c r="V143" s="15"/>
      <c r="W143" s="14"/>
      <c r="X143" s="14"/>
      <c r="Y143" s="18">
        <f>Q143-$Q$113</f>
        <v>40.222256834634692</v>
      </c>
    </row>
    <row r="144" spans="1:29" x14ac:dyDescent="0.3">
      <c r="A144" t="s">
        <v>16</v>
      </c>
      <c r="B144" s="2">
        <v>6.68</v>
      </c>
      <c r="C144" s="2">
        <v>18.77</v>
      </c>
      <c r="D144" s="2">
        <f t="shared" ref="D144:D145" si="155">(C144-B144)/1000</f>
        <v>1.209E-2</v>
      </c>
      <c r="E144" s="2">
        <f t="shared" si="145"/>
        <v>2E-3</v>
      </c>
      <c r="F144" s="2">
        <v>6.8949999999999996</v>
      </c>
      <c r="G144" s="2">
        <v>15</v>
      </c>
      <c r="H144" s="3">
        <f t="shared" ref="H144:H145" si="156">(D144/(E144*(G144/60)))</f>
        <v>24.18</v>
      </c>
      <c r="I144" s="3">
        <f t="shared" ref="I144:I145" si="157">AVERAGE(H144:H146)</f>
        <v>12.09</v>
      </c>
      <c r="J144" s="2">
        <f t="shared" ref="J144:J145" si="158">_xlfn.STDEV.P(H144:H146)</f>
        <v>12.09</v>
      </c>
      <c r="K144">
        <f t="shared" ref="K144:K145" si="159">H144/F144</f>
        <v>3.5068890500362584</v>
      </c>
      <c r="N144" s="14" t="s">
        <v>15</v>
      </c>
      <c r="O144" s="14">
        <v>19.8</v>
      </c>
      <c r="P144" s="14">
        <v>8.57</v>
      </c>
      <c r="Q144" s="15">
        <f t="shared" si="147"/>
        <v>56.717171717171716</v>
      </c>
      <c r="R144" s="38">
        <f t="shared" si="148"/>
        <v>8.6565656565656568E-2</v>
      </c>
      <c r="S144" s="38">
        <f>AVERAGE(R144:R146)</f>
        <v>0.10454545454545454</v>
      </c>
      <c r="T144" s="15">
        <f>R144/$S$114</f>
        <v>0.53511047070124884</v>
      </c>
      <c r="U144" s="15">
        <f>AVERAGE(T144:T146)</f>
        <v>0.64625360230547557</v>
      </c>
      <c r="V144" s="15">
        <f>_xlfn.STDEV.P(T144:T146)</f>
        <v>0.10086067266066009</v>
      </c>
      <c r="W144" s="15">
        <f>AVERAGE(Q144:Q146)</f>
        <v>47.727272727272727</v>
      </c>
      <c r="X144" s="15">
        <f>_xlfn.STDEV.P(Q144:Q146)</f>
        <v>8.1581942688226707</v>
      </c>
      <c r="Y144" s="18">
        <f>Q144-$Q$114</f>
        <v>32.994740302432611</v>
      </c>
    </row>
    <row r="145" spans="1:28" x14ac:dyDescent="0.3">
      <c r="A145" t="s">
        <v>34</v>
      </c>
      <c r="B145" s="2"/>
      <c r="C145" s="2"/>
      <c r="D145" s="2">
        <f t="shared" si="155"/>
        <v>0</v>
      </c>
      <c r="E145" s="2">
        <f t="shared" si="145"/>
        <v>2E-3</v>
      </c>
      <c r="F145" s="2">
        <v>6.8949999999999996</v>
      </c>
      <c r="G145" s="2">
        <v>15</v>
      </c>
      <c r="H145" s="3">
        <f t="shared" si="156"/>
        <v>0</v>
      </c>
      <c r="I145" s="3">
        <f t="shared" si="157"/>
        <v>0</v>
      </c>
      <c r="J145" s="2">
        <f t="shared" si="158"/>
        <v>0</v>
      </c>
      <c r="K145">
        <f t="shared" si="159"/>
        <v>0</v>
      </c>
      <c r="N145" s="14" t="s">
        <v>16</v>
      </c>
      <c r="O145" s="14">
        <v>19.8</v>
      </c>
      <c r="P145" s="14">
        <v>12.48</v>
      </c>
      <c r="Q145" s="15">
        <f t="shared" si="147"/>
        <v>36.969696969696969</v>
      </c>
      <c r="R145" s="38">
        <f t="shared" si="148"/>
        <v>0.12606060606060607</v>
      </c>
      <c r="S145" s="38"/>
      <c r="T145" s="15">
        <f t="shared" ref="T145:T146" si="160">R145/$S$114</f>
        <v>0.77925072046109511</v>
      </c>
      <c r="U145" s="15"/>
      <c r="V145" s="15"/>
      <c r="W145" s="14"/>
      <c r="X145" s="14"/>
      <c r="Y145" s="18">
        <f>Q145-$Q$115</f>
        <v>22.660928814774969</v>
      </c>
      <c r="Z145" s="18">
        <f>AVERAGE(Y144:Y146)</f>
        <v>28.613053613053619</v>
      </c>
      <c r="AA145">
        <f>_xlfn.STDEV.P(Y144:Y146)</f>
        <v>4.3624627491073786</v>
      </c>
    </row>
    <row r="146" spans="1:28" x14ac:dyDescent="0.3">
      <c r="N146" s="14" t="s">
        <v>34</v>
      </c>
      <c r="O146" s="14">
        <v>19.8</v>
      </c>
      <c r="P146" s="14">
        <v>10</v>
      </c>
      <c r="Q146" s="15">
        <f t="shared" si="147"/>
        <v>49.494949494949502</v>
      </c>
      <c r="R146" s="38">
        <f t="shared" si="148"/>
        <v>0.10101010101010099</v>
      </c>
      <c r="S146" s="38"/>
      <c r="T146" s="15">
        <f t="shared" si="160"/>
        <v>0.62439961575408254</v>
      </c>
      <c r="U146" s="15"/>
      <c r="V146" s="15"/>
      <c r="W146" s="14"/>
      <c r="X146" s="14"/>
      <c r="Y146" s="18">
        <f>Q146-$Q$116</f>
        <v>30.183491721953267</v>
      </c>
    </row>
    <row r="150" spans="1:28" x14ac:dyDescent="0.3">
      <c r="AB150">
        <v>2</v>
      </c>
    </row>
    <row r="154" spans="1:28" x14ac:dyDescent="0.3">
      <c r="X154">
        <v>1</v>
      </c>
      <c r="Y154">
        <v>2</v>
      </c>
      <c r="AA154">
        <v>1</v>
      </c>
    </row>
    <row r="155" spans="1:28" x14ac:dyDescent="0.3">
      <c r="L155" s="50" t="s">
        <v>60</v>
      </c>
      <c r="M155" s="50"/>
      <c r="N155" s="50" t="s">
        <v>64</v>
      </c>
      <c r="O155" s="50"/>
      <c r="P155" s="50" t="s">
        <v>57</v>
      </c>
      <c r="Q155" s="50"/>
      <c r="R155" s="50" t="s">
        <v>61</v>
      </c>
      <c r="S155" s="50"/>
      <c r="T155" s="50"/>
      <c r="U155" s="50"/>
      <c r="V155" s="50"/>
      <c r="W155" s="50"/>
      <c r="X155" t="s">
        <v>62</v>
      </c>
      <c r="Z155" t="s">
        <v>63</v>
      </c>
    </row>
    <row r="156" spans="1:28" x14ac:dyDescent="0.3">
      <c r="L156" t="s">
        <v>43</v>
      </c>
      <c r="M156" t="s">
        <v>44</v>
      </c>
      <c r="N156" t="s">
        <v>43</v>
      </c>
      <c r="O156" t="s">
        <v>44</v>
      </c>
      <c r="P156" t="s">
        <v>43</v>
      </c>
      <c r="Q156" t="s">
        <v>44</v>
      </c>
      <c r="R156" t="s">
        <v>43</v>
      </c>
      <c r="W156" t="s">
        <v>44</v>
      </c>
    </row>
    <row r="157" spans="1:28" x14ac:dyDescent="0.3">
      <c r="K157" t="s">
        <v>29</v>
      </c>
      <c r="L157">
        <v>47.3</v>
      </c>
      <c r="M157">
        <v>40</v>
      </c>
      <c r="N157">
        <v>60.5</v>
      </c>
      <c r="O157">
        <v>41.8</v>
      </c>
      <c r="P157">
        <f>N157-L157</f>
        <v>13.200000000000003</v>
      </c>
      <c r="Q157">
        <f>O157-M157</f>
        <v>1.7999999999999972</v>
      </c>
      <c r="R157">
        <v>85</v>
      </c>
      <c r="W157">
        <v>77.5</v>
      </c>
      <c r="X157">
        <f>P157-Q157</f>
        <v>11.400000000000006</v>
      </c>
      <c r="Y157">
        <f>N157-O157</f>
        <v>18.700000000000003</v>
      </c>
      <c r="Z157">
        <f>R157-W157</f>
        <v>7.5</v>
      </c>
    </row>
    <row r="158" spans="1:28" x14ac:dyDescent="0.3">
      <c r="K158" t="s">
        <v>30</v>
      </c>
      <c r="L158">
        <v>26.8</v>
      </c>
      <c r="M158">
        <v>14</v>
      </c>
      <c r="N158">
        <v>49</v>
      </c>
      <c r="O158">
        <v>19.3</v>
      </c>
      <c r="P158">
        <f t="shared" ref="P158:P160" si="161">N158-L158</f>
        <v>22.2</v>
      </c>
      <c r="Q158">
        <f t="shared" ref="Q158:Q160" si="162">O158-M158</f>
        <v>5.3000000000000007</v>
      </c>
      <c r="R158">
        <v>82</v>
      </c>
      <c r="W158">
        <v>57.7</v>
      </c>
      <c r="X158">
        <f>P158-Q158</f>
        <v>16.899999999999999</v>
      </c>
      <c r="Y158">
        <f>N158-O158</f>
        <v>29.7</v>
      </c>
      <c r="Z158">
        <f>R158-W158</f>
        <v>24.299999999999997</v>
      </c>
    </row>
    <row r="159" spans="1:28" x14ac:dyDescent="0.3">
      <c r="K159" t="s">
        <v>31</v>
      </c>
      <c r="L159">
        <v>17.5</v>
      </c>
      <c r="M159">
        <v>7.8</v>
      </c>
      <c r="N159">
        <v>36.6</v>
      </c>
      <c r="O159">
        <v>19.100000000000001</v>
      </c>
      <c r="P159">
        <f t="shared" si="161"/>
        <v>19.100000000000001</v>
      </c>
      <c r="Q159">
        <f t="shared" si="162"/>
        <v>11.3</v>
      </c>
      <c r="R159">
        <v>75.5</v>
      </c>
      <c r="W159">
        <v>47.7</v>
      </c>
      <c r="X159">
        <f>P159-Q159</f>
        <v>7.8000000000000007</v>
      </c>
      <c r="Y159">
        <f>N159-O159</f>
        <v>17.5</v>
      </c>
      <c r="Z159">
        <f>R159-W159</f>
        <v>27.799999999999997</v>
      </c>
    </row>
    <row r="160" spans="1:28" x14ac:dyDescent="0.3">
      <c r="K160" t="s">
        <v>46</v>
      </c>
      <c r="L160">
        <v>15.9</v>
      </c>
      <c r="M160">
        <v>12.5</v>
      </c>
      <c r="N160">
        <v>38.5</v>
      </c>
      <c r="O160">
        <v>17</v>
      </c>
      <c r="P160">
        <f t="shared" si="161"/>
        <v>22.6</v>
      </c>
      <c r="Q160">
        <f t="shared" si="162"/>
        <v>4.5</v>
      </c>
      <c r="R160">
        <v>88.9</v>
      </c>
      <c r="W160">
        <v>63.7</v>
      </c>
      <c r="X160">
        <f>P160-Q160</f>
        <v>18.100000000000001</v>
      </c>
      <c r="Y160">
        <f>N160-O160</f>
        <v>21.5</v>
      </c>
      <c r="Z160">
        <f>R160-W160</f>
        <v>25.200000000000003</v>
      </c>
    </row>
  </sheetData>
  <mergeCells count="20">
    <mergeCell ref="AB2:AL2"/>
    <mergeCell ref="AB13:AL13"/>
    <mergeCell ref="AB14:AD14"/>
    <mergeCell ref="AE14:AG14"/>
    <mergeCell ref="AH14:AJ14"/>
    <mergeCell ref="AB3:AD3"/>
    <mergeCell ref="AE3:AG3"/>
    <mergeCell ref="AH3:AJ3"/>
    <mergeCell ref="L155:M155"/>
    <mergeCell ref="N155:O155"/>
    <mergeCell ref="R155:W155"/>
    <mergeCell ref="P155:Q155"/>
    <mergeCell ref="AB75:AJ75"/>
    <mergeCell ref="AB76:AD76"/>
    <mergeCell ref="AE76:AG76"/>
    <mergeCell ref="AH76:AJ76"/>
    <mergeCell ref="AB87:AD87"/>
    <mergeCell ref="AE87:AG87"/>
    <mergeCell ref="AH87:AJ87"/>
    <mergeCell ref="AB86:AJ8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D0DB-4733-478C-B795-7437EECE3F0C}">
  <dimension ref="A1:AL61"/>
  <sheetViews>
    <sheetView topLeftCell="G13" workbookViewId="0">
      <selection activeCell="W32" sqref="W32"/>
    </sheetView>
  </sheetViews>
  <sheetFormatPr defaultRowHeight="14.4" x14ac:dyDescent="0.3"/>
  <cols>
    <col min="5" max="5" width="12.6640625" customWidth="1"/>
    <col min="6" max="6" width="12.109375" bestFit="1" customWidth="1"/>
    <col min="7" max="7" width="12.44140625" customWidth="1"/>
    <col min="11" max="11" width="11.5546875" customWidth="1"/>
    <col min="12" max="12" width="9.6640625" customWidth="1"/>
    <col min="15" max="15" width="12" bestFit="1" customWidth="1"/>
    <col min="16" max="16" width="9.6640625" bestFit="1" customWidth="1"/>
    <col min="17" max="17" width="11.6640625" bestFit="1" customWidth="1"/>
    <col min="18" max="22" width="11.6640625" customWidth="1"/>
  </cols>
  <sheetData>
    <row r="1" spans="1:38" ht="43.2" x14ac:dyDescent="0.3">
      <c r="A1" s="19" t="s">
        <v>0</v>
      </c>
      <c r="B1" s="19" t="s">
        <v>1</v>
      </c>
      <c r="C1" s="1" t="s">
        <v>2</v>
      </c>
      <c r="D1" s="19" t="s">
        <v>3</v>
      </c>
      <c r="E1" s="1" t="s">
        <v>4</v>
      </c>
      <c r="F1" s="19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23</v>
      </c>
      <c r="L1" s="1" t="s">
        <v>24</v>
      </c>
      <c r="M1" s="1" t="s">
        <v>9</v>
      </c>
      <c r="N1" s="1" t="s">
        <v>55</v>
      </c>
      <c r="O1" s="1" t="s">
        <v>56</v>
      </c>
      <c r="Z1" s="50" t="s">
        <v>27</v>
      </c>
      <c r="AA1" s="50"/>
      <c r="AB1" s="50"/>
      <c r="AC1" s="50"/>
      <c r="AD1" s="50"/>
      <c r="AE1" s="50"/>
      <c r="AF1" s="21"/>
      <c r="AG1" s="50" t="s">
        <v>76</v>
      </c>
      <c r="AH1" s="50"/>
      <c r="AI1" s="50"/>
      <c r="AJ1" s="50"/>
      <c r="AK1" s="50"/>
      <c r="AL1" s="50"/>
    </row>
    <row r="2" spans="1:38" x14ac:dyDescent="0.3">
      <c r="A2" s="2" t="s">
        <v>10</v>
      </c>
      <c r="B2" s="2"/>
      <c r="C2" s="2"/>
      <c r="D2" s="2"/>
      <c r="E2" s="2"/>
      <c r="F2" s="2"/>
      <c r="G2" s="2"/>
      <c r="H2" s="2"/>
      <c r="I2" s="2"/>
      <c r="J2" s="2"/>
      <c r="Z2" s="50" t="s">
        <v>43</v>
      </c>
      <c r="AA2" s="50"/>
      <c r="AB2" s="50"/>
      <c r="AC2" s="50" t="s">
        <v>44</v>
      </c>
      <c r="AD2" s="50"/>
      <c r="AE2" s="50"/>
      <c r="AG2" s="50" t="s">
        <v>43</v>
      </c>
      <c r="AH2" s="50"/>
      <c r="AI2" s="50"/>
      <c r="AJ2" s="50" t="s">
        <v>44</v>
      </c>
      <c r="AK2" s="50"/>
      <c r="AL2" s="50"/>
    </row>
    <row r="3" spans="1:38" x14ac:dyDescent="0.3">
      <c r="A3" s="2">
        <v>1</v>
      </c>
      <c r="B3" s="2">
        <v>6.69</v>
      </c>
      <c r="C3" s="2">
        <v>18.87</v>
      </c>
      <c r="D3" s="2">
        <f>(C3-B3)/1000</f>
        <v>1.218E-2</v>
      </c>
      <c r="E3" s="2">
        <f>20/(100^2)</f>
        <v>2E-3</v>
      </c>
      <c r="F3" s="2">
        <v>6.8949999999999996</v>
      </c>
      <c r="G3" s="2">
        <v>3</v>
      </c>
      <c r="H3" s="3">
        <f>(D3/(E3*(G3/60)))</f>
        <v>121.8</v>
      </c>
      <c r="I3" s="3">
        <f>AVERAGE(H3:H5)</f>
        <v>116.36666666666667</v>
      </c>
      <c r="J3" s="2">
        <f>_xlfn.STDEV.P(H3:H5)</f>
        <v>9.1346714348257798</v>
      </c>
      <c r="K3">
        <f>H3/F3</f>
        <v>17.664974619289342</v>
      </c>
      <c r="L3" s="3">
        <f>AVERAGE(K3:K5)</f>
        <v>16.87696398356297</v>
      </c>
      <c r="M3" s="2">
        <f>_xlfn.STDEV.P(K3:K5)</f>
        <v>1.3248254437745881</v>
      </c>
      <c r="N3">
        <f>K3*12.1/1000</f>
        <v>0.21374619289340102</v>
      </c>
      <c r="O3">
        <f>AVERAGE(N3:N5)</f>
        <v>0.20421126420111194</v>
      </c>
      <c r="P3">
        <f>_xlfn.STDEV.P(N3:N5)</f>
        <v>1.6030387869672508E-2</v>
      </c>
      <c r="Z3" t="s">
        <v>39</v>
      </c>
      <c r="AA3" t="s">
        <v>40</v>
      </c>
      <c r="AB3" t="s">
        <v>9</v>
      </c>
      <c r="AC3" t="s">
        <v>39</v>
      </c>
      <c r="AD3" t="s">
        <v>40</v>
      </c>
      <c r="AE3" t="s">
        <v>9</v>
      </c>
      <c r="AG3" t="s">
        <v>39</v>
      </c>
      <c r="AH3" t="s">
        <v>40</v>
      </c>
      <c r="AI3" t="s">
        <v>9</v>
      </c>
      <c r="AJ3" t="s">
        <v>39</v>
      </c>
      <c r="AK3" t="s">
        <v>40</v>
      </c>
      <c r="AL3" t="s">
        <v>9</v>
      </c>
    </row>
    <row r="4" spans="1:38" x14ac:dyDescent="0.3">
      <c r="A4" s="2">
        <v>2</v>
      </c>
      <c r="B4" s="2">
        <v>6.66</v>
      </c>
      <c r="C4" s="2">
        <v>17.010000000000002</v>
      </c>
      <c r="D4" s="2">
        <f t="shared" ref="D4" si="0">(C4-B4)/1000</f>
        <v>1.0350000000000002E-2</v>
      </c>
      <c r="E4" s="2">
        <f t="shared" ref="E4:E9" si="1">20/(100^2)</f>
        <v>2E-3</v>
      </c>
      <c r="F4" s="2">
        <v>6.8949999999999996</v>
      </c>
      <c r="G4" s="2">
        <v>3</v>
      </c>
      <c r="H4" s="3">
        <f t="shared" ref="H4:H5" si="2">(D4/(E4*(G4/60)))</f>
        <v>103.50000000000001</v>
      </c>
      <c r="I4" s="3"/>
      <c r="J4" s="3"/>
      <c r="K4">
        <f t="shared" ref="K4:K5" si="3">H4/F4</f>
        <v>15.010877447425674</v>
      </c>
      <c r="L4" s="3"/>
      <c r="M4" s="3"/>
      <c r="N4">
        <f t="shared" ref="N4:N5" si="4">K4*12.1/1000</f>
        <v>0.18163161711385065</v>
      </c>
      <c r="O4" s="22"/>
      <c r="P4" s="22"/>
      <c r="Z4">
        <v>3.53</v>
      </c>
      <c r="AA4" s="18">
        <f>W8</f>
        <v>32.936507936507944</v>
      </c>
      <c r="AB4" s="18">
        <f>X8</f>
        <v>0</v>
      </c>
      <c r="AC4">
        <v>3.46</v>
      </c>
      <c r="AD4" s="18">
        <f>W39</f>
        <v>26.589595375722546</v>
      </c>
      <c r="AE4" s="18">
        <f>X39</f>
        <v>3.4682080924855399</v>
      </c>
      <c r="AG4">
        <v>6.63</v>
      </c>
      <c r="AH4" s="18">
        <f>U16</f>
        <v>0.74420890564746633</v>
      </c>
      <c r="AI4" s="18">
        <f>V16</f>
        <v>1.9324006447188923E-2</v>
      </c>
      <c r="AJ4">
        <v>6.86</v>
      </c>
      <c r="AK4" s="18">
        <f>U47</f>
        <v>0.97069577658841588</v>
      </c>
      <c r="AL4" s="18">
        <f>V47</f>
        <v>4.960925576039011E-2</v>
      </c>
    </row>
    <row r="5" spans="1:38" x14ac:dyDescent="0.3">
      <c r="A5" s="2">
        <v>3</v>
      </c>
      <c r="B5" s="2">
        <v>6.67</v>
      </c>
      <c r="C5" s="2">
        <v>19.05</v>
      </c>
      <c r="D5" s="2">
        <f>(C5-B5)/1000</f>
        <v>1.238E-2</v>
      </c>
      <c r="E5" s="2">
        <f t="shared" si="1"/>
        <v>2E-3</v>
      </c>
      <c r="F5" s="2">
        <v>6.8949999999999996</v>
      </c>
      <c r="G5" s="2">
        <v>3</v>
      </c>
      <c r="H5" s="3">
        <f t="shared" si="2"/>
        <v>123.8</v>
      </c>
      <c r="I5" s="3"/>
      <c r="J5" s="2"/>
      <c r="K5">
        <f t="shared" si="3"/>
        <v>17.955039883973896</v>
      </c>
      <c r="L5" s="3"/>
      <c r="M5" s="2"/>
      <c r="N5">
        <f t="shared" si="4"/>
        <v>0.21725598259608411</v>
      </c>
      <c r="Z5">
        <v>4.9400000000000004</v>
      </c>
      <c r="AA5" s="18">
        <f>W12</f>
        <v>15.87982832618026</v>
      </c>
      <c r="AB5" s="18">
        <f>X12</f>
        <v>0.42918454935622119</v>
      </c>
      <c r="AC5">
        <v>5.01</v>
      </c>
      <c r="AD5" s="18">
        <f>W43</f>
        <v>12.499999999999993</v>
      </c>
      <c r="AE5" s="18">
        <f>X43</f>
        <v>1.4534883720930183</v>
      </c>
      <c r="AG5">
        <v>8.85</v>
      </c>
      <c r="AH5" s="18">
        <f>U20</f>
        <v>0.90531366353844878</v>
      </c>
      <c r="AI5" s="18">
        <f>V20</f>
        <v>5.0930422726770994E-2</v>
      </c>
      <c r="AJ5">
        <v>8.5</v>
      </c>
      <c r="AK5" s="18">
        <f>U51</f>
        <v>0.81299349125053333</v>
      </c>
      <c r="AL5" s="18">
        <f>V51</f>
        <v>3.2886863143659052E-2</v>
      </c>
    </row>
    <row r="6" spans="1:38" x14ac:dyDescent="0.3">
      <c r="A6" t="s">
        <v>17</v>
      </c>
      <c r="N6" s="19" t="s">
        <v>0</v>
      </c>
      <c r="O6" s="19" t="s">
        <v>41</v>
      </c>
      <c r="P6" s="19" t="s">
        <v>42</v>
      </c>
      <c r="Q6" s="19" t="s">
        <v>27</v>
      </c>
      <c r="R6" s="25" t="s">
        <v>71</v>
      </c>
      <c r="S6" s="25" t="s">
        <v>72</v>
      </c>
      <c r="T6" s="25" t="s">
        <v>73</v>
      </c>
      <c r="U6" s="25" t="s">
        <v>74</v>
      </c>
      <c r="V6" s="25" t="s">
        <v>75</v>
      </c>
      <c r="W6" s="19" t="s">
        <v>28</v>
      </c>
      <c r="X6" s="19" t="s">
        <v>9</v>
      </c>
      <c r="Z6">
        <v>6.63</v>
      </c>
      <c r="AA6" s="18">
        <f>W16</f>
        <v>38.49372384937238</v>
      </c>
      <c r="AB6" s="18">
        <f>X16</f>
        <v>1.0041841004184064</v>
      </c>
      <c r="AC6">
        <v>6.86</v>
      </c>
      <c r="AD6" s="18">
        <f>W47</f>
        <v>17.065868263473053</v>
      </c>
      <c r="AE6" s="18">
        <f>X47</f>
        <v>3.8922155688622677</v>
      </c>
      <c r="AG6">
        <v>9.98</v>
      </c>
      <c r="AH6" s="18">
        <f>U24</f>
        <v>0.24929437753333453</v>
      </c>
      <c r="AI6" s="18">
        <f>V24</f>
        <v>3.5165849167909618E-3</v>
      </c>
      <c r="AJ6">
        <v>9.9700000000000006</v>
      </c>
      <c r="AK6" s="18">
        <f>U55</f>
        <v>0.45916011724120037</v>
      </c>
      <c r="AL6" s="18">
        <f>V55</f>
        <v>3.5323938135295704E-2</v>
      </c>
    </row>
    <row r="7" spans="1:38" x14ac:dyDescent="0.3">
      <c r="A7">
        <v>1</v>
      </c>
      <c r="B7" s="2">
        <v>6.67</v>
      </c>
      <c r="C7" s="2">
        <v>13.27</v>
      </c>
      <c r="D7" s="2">
        <f>(C7-B7)/1000</f>
        <v>6.6E-3</v>
      </c>
      <c r="E7" s="2">
        <f>20/(100^2)</f>
        <v>2E-3</v>
      </c>
      <c r="F7" s="2">
        <v>5.2</v>
      </c>
      <c r="G7" s="2">
        <v>3</v>
      </c>
      <c r="H7" s="3">
        <f>(D7/(E7*(G7/60)))</f>
        <v>66</v>
      </c>
      <c r="I7" s="3">
        <f>AVERAGE(H7:H9)</f>
        <v>70.333333333333329</v>
      </c>
      <c r="J7" s="2">
        <f>_xlfn.STDEV.P(H7:H9)</f>
        <v>3.1169785940162518</v>
      </c>
      <c r="K7">
        <f>H7/F7</f>
        <v>12.692307692307692</v>
      </c>
      <c r="L7" s="3">
        <f>AVERAGE(K7:K9)</f>
        <v>13.525641025641024</v>
      </c>
      <c r="M7" s="2">
        <f>_xlfn.STDEV.P(K7:K9)</f>
        <v>0.59941896038774101</v>
      </c>
      <c r="N7" s="4" t="s">
        <v>17</v>
      </c>
      <c r="O7" s="4"/>
      <c r="P7" s="4"/>
      <c r="Q7" s="4"/>
      <c r="R7" s="4"/>
      <c r="S7" s="4"/>
      <c r="T7" s="4"/>
      <c r="U7" s="4"/>
      <c r="V7" s="4"/>
      <c r="W7" s="4"/>
      <c r="X7" s="4"/>
      <c r="Z7">
        <v>8.85</v>
      </c>
      <c r="AA7" s="18">
        <f>W20</f>
        <v>45.614035087719301</v>
      </c>
      <c r="AB7" s="18">
        <f>X20</f>
        <v>0.87719298245614041</v>
      </c>
      <c r="AC7">
        <v>8.5</v>
      </c>
      <c r="AD7" s="18">
        <f>W51</f>
        <v>29.26136363636364</v>
      </c>
      <c r="AE7" s="18">
        <f>X51</f>
        <v>2.7963680038320873</v>
      </c>
      <c r="AG7">
        <v>10.44</v>
      </c>
      <c r="AH7" s="18">
        <f>U28</f>
        <v>0.17840878858723244</v>
      </c>
      <c r="AI7" s="18">
        <f>V28</f>
        <v>7.4239378699812106E-3</v>
      </c>
      <c r="AJ7">
        <v>10.52</v>
      </c>
      <c r="AK7" s="18">
        <f>U59</f>
        <v>0.44287526963583296</v>
      </c>
      <c r="AL7" s="18">
        <f>V59</f>
        <v>3.5331131126621257E-2</v>
      </c>
    </row>
    <row r="8" spans="1:38" x14ac:dyDescent="0.3">
      <c r="A8">
        <v>2</v>
      </c>
      <c r="B8" s="2">
        <v>6.7</v>
      </c>
      <c r="C8" s="2">
        <v>13.88</v>
      </c>
      <c r="D8" s="2">
        <f t="shared" ref="D8" si="5">(C8-B8)/1000</f>
        <v>7.1800000000000006E-3</v>
      </c>
      <c r="E8" s="2">
        <f t="shared" si="1"/>
        <v>2E-3</v>
      </c>
      <c r="F8" s="2">
        <v>5.2</v>
      </c>
      <c r="G8" s="2">
        <v>3</v>
      </c>
      <c r="H8" s="3">
        <f t="shared" ref="H8:H9" si="6">(D8/(E8*(G8/60)))</f>
        <v>71.8</v>
      </c>
      <c r="I8" s="3"/>
      <c r="J8" s="3"/>
      <c r="K8">
        <f>H8/F8</f>
        <v>13.807692307692307</v>
      </c>
      <c r="L8" s="3"/>
      <c r="M8" s="3"/>
      <c r="N8">
        <v>1</v>
      </c>
      <c r="O8" s="4">
        <v>25.2</v>
      </c>
      <c r="P8" s="4">
        <v>16.899999999999999</v>
      </c>
      <c r="Q8" s="5">
        <f t="shared" ref="Q8:Q30" si="7">(O8-P8)*100/O8</f>
        <v>32.936507936507944</v>
      </c>
      <c r="R8" s="37">
        <f>((100-Q8)/100)*0.002*10</f>
        <v>1.3412698412698409E-2</v>
      </c>
      <c r="S8" s="37">
        <f>AVERAGE(R8:R10)</f>
        <v>1.3386243386243385E-2</v>
      </c>
      <c r="T8" s="37"/>
      <c r="U8" s="37"/>
      <c r="V8" s="37"/>
      <c r="W8" s="5">
        <f>AVERAGE(Q8:Q9)</f>
        <v>32.936507936507944</v>
      </c>
      <c r="X8" s="5">
        <f>_xlfn.STDEV.P(Q8:Q9)</f>
        <v>0</v>
      </c>
      <c r="Z8">
        <v>9.98</v>
      </c>
      <c r="AA8" s="18">
        <f>W24</f>
        <v>84.449339207048467</v>
      </c>
      <c r="AB8" s="18">
        <f>X24</f>
        <v>0.26431718061673593</v>
      </c>
      <c r="AC8">
        <v>9.9700000000000006</v>
      </c>
      <c r="AD8" s="18">
        <f>W55</f>
        <v>62.154696132596683</v>
      </c>
      <c r="AE8" s="18">
        <f>X55</f>
        <v>3.0386740331491673</v>
      </c>
    </row>
    <row r="9" spans="1:38" x14ac:dyDescent="0.3">
      <c r="A9">
        <v>3</v>
      </c>
      <c r="B9" s="2">
        <v>6.69</v>
      </c>
      <c r="C9" s="2">
        <v>14.01</v>
      </c>
      <c r="D9" s="2">
        <f>(C9-B9)/1000</f>
        <v>7.3199999999999993E-3</v>
      </c>
      <c r="E9" s="2">
        <f t="shared" si="1"/>
        <v>2E-3</v>
      </c>
      <c r="F9" s="2">
        <v>5.2</v>
      </c>
      <c r="G9" s="2">
        <v>3</v>
      </c>
      <c r="H9" s="3">
        <f t="shared" si="6"/>
        <v>73.199999999999989</v>
      </c>
      <c r="I9" s="3"/>
      <c r="J9" s="2"/>
      <c r="K9">
        <f>H9/F9</f>
        <v>14.076923076923075</v>
      </c>
      <c r="L9" s="3"/>
      <c r="M9" s="2"/>
      <c r="N9">
        <v>2</v>
      </c>
      <c r="O9" s="4">
        <v>25.2</v>
      </c>
      <c r="P9" s="4">
        <v>16.899999999999999</v>
      </c>
      <c r="Q9" s="5">
        <f t="shared" si="7"/>
        <v>32.936507936507944</v>
      </c>
      <c r="R9" s="37">
        <f t="shared" ref="R9:R10" si="8">((100-Q9)/100)*0.002*10</f>
        <v>1.3412698412698409E-2</v>
      </c>
      <c r="S9" s="37"/>
      <c r="T9" s="37"/>
      <c r="U9" s="37"/>
      <c r="V9" s="37"/>
      <c r="W9" s="5"/>
      <c r="X9" s="5"/>
      <c r="Z9">
        <v>10.44</v>
      </c>
      <c r="AA9" s="18">
        <f>W28</f>
        <v>88.864628820960689</v>
      </c>
      <c r="AB9" s="18">
        <f>X28</f>
        <v>0.5676855895196482</v>
      </c>
      <c r="AC9">
        <v>10.52</v>
      </c>
      <c r="AD9" s="18">
        <f>W59</f>
        <v>63.783783783783782</v>
      </c>
      <c r="AE9" s="18">
        <f>X59</f>
        <v>2.7027027027027017</v>
      </c>
    </row>
    <row r="10" spans="1:38" x14ac:dyDescent="0.3">
      <c r="A10" t="s">
        <v>19</v>
      </c>
      <c r="N10">
        <v>3</v>
      </c>
      <c r="O10" s="4">
        <v>25.2</v>
      </c>
      <c r="P10" s="4">
        <v>16.8</v>
      </c>
      <c r="Q10" s="5">
        <f t="shared" si="7"/>
        <v>33.333333333333329</v>
      </c>
      <c r="R10" s="37">
        <f t="shared" si="8"/>
        <v>1.3333333333333336E-2</v>
      </c>
      <c r="S10" s="37"/>
      <c r="T10" s="37"/>
      <c r="U10" s="37"/>
      <c r="V10" s="37"/>
      <c r="W10" s="5"/>
      <c r="X10" s="5"/>
    </row>
    <row r="11" spans="1:38" x14ac:dyDescent="0.3">
      <c r="A11">
        <v>1</v>
      </c>
      <c r="B11" s="2">
        <v>6.69</v>
      </c>
      <c r="C11" s="2">
        <v>14.76</v>
      </c>
      <c r="D11" s="2">
        <f>(C11-B11)/1000</f>
        <v>8.0700000000000008E-3</v>
      </c>
      <c r="E11" s="2">
        <f>20/(100^2)</f>
        <v>2E-3</v>
      </c>
      <c r="F11" s="2">
        <v>5.2</v>
      </c>
      <c r="G11" s="2">
        <v>3</v>
      </c>
      <c r="H11" s="3">
        <f>(D11/(E11*(G11/60)))</f>
        <v>80.7</v>
      </c>
      <c r="I11" s="3">
        <f>AVERAGE(H11:H13)</f>
        <v>86.133333333333326</v>
      </c>
      <c r="J11" s="2">
        <f>_xlfn.STDEV.P(H11:H13)</f>
        <v>3.8904441334577093</v>
      </c>
      <c r="K11">
        <f>H11/F11</f>
        <v>15.51923076923077</v>
      </c>
      <c r="L11" s="3">
        <f>AVERAGE(K11:K13)</f>
        <v>16.564102564102559</v>
      </c>
      <c r="M11" s="2">
        <f>_xlfn.STDEV.P(K11:K13)</f>
        <v>0.74816233335725135</v>
      </c>
      <c r="N11" s="6" t="s">
        <v>19</v>
      </c>
      <c r="O11" s="6"/>
      <c r="P11" s="6"/>
      <c r="Q11" s="7" t="e">
        <f t="shared" si="7"/>
        <v>#DIV/0!</v>
      </c>
      <c r="R11" s="7"/>
      <c r="S11" s="7"/>
      <c r="T11" s="7"/>
      <c r="U11" s="7"/>
      <c r="V11" s="7"/>
      <c r="W11" s="6"/>
      <c r="X11" s="6"/>
    </row>
    <row r="12" spans="1:38" x14ac:dyDescent="0.3">
      <c r="A12">
        <v>2</v>
      </c>
      <c r="B12" s="2">
        <v>6.69</v>
      </c>
      <c r="C12" s="2">
        <v>15.5</v>
      </c>
      <c r="D12" s="2">
        <f t="shared" ref="D12" si="9">(C12-B12)/1000</f>
        <v>8.8099999999999984E-3</v>
      </c>
      <c r="E12" s="2">
        <f t="shared" ref="E12:E13" si="10">20/(100^2)</f>
        <v>2E-3</v>
      </c>
      <c r="F12" s="2">
        <v>5.2</v>
      </c>
      <c r="G12" s="2">
        <v>3</v>
      </c>
      <c r="H12" s="3">
        <f t="shared" ref="H12:H13" si="11">(D12/(E12*(G12/60)))</f>
        <v>88.09999999999998</v>
      </c>
      <c r="I12" s="3"/>
      <c r="J12" s="3"/>
      <c r="K12">
        <f t="shared" ref="K12:K13" si="12">H12/F12</f>
        <v>16.942307692307686</v>
      </c>
      <c r="L12" s="3"/>
      <c r="M12" s="3"/>
      <c r="N12">
        <v>1</v>
      </c>
      <c r="O12" s="6">
        <v>23.3</v>
      </c>
      <c r="P12" s="6">
        <v>19.7</v>
      </c>
      <c r="Q12" s="7">
        <f t="shared" si="7"/>
        <v>15.450643776824039</v>
      </c>
      <c r="R12" s="42">
        <f>((100-Q12)/100)*0.002*10</f>
        <v>1.6909871244635194E-2</v>
      </c>
      <c r="S12" s="42">
        <f>AVERAGE(R12:R14)</f>
        <v>1.6795422031473536E-2</v>
      </c>
      <c r="T12" s="42"/>
      <c r="U12" s="42"/>
      <c r="V12" s="42"/>
      <c r="W12" s="7">
        <f>AVERAGE(Q12:Q13)</f>
        <v>15.87982832618026</v>
      </c>
      <c r="X12" s="7">
        <f>_xlfn.STDEV.P(Q12:Q13)</f>
        <v>0.42918454935622119</v>
      </c>
    </row>
    <row r="13" spans="1:38" x14ac:dyDescent="0.3">
      <c r="A13">
        <v>3</v>
      </c>
      <c r="B13" s="2">
        <v>6.74</v>
      </c>
      <c r="C13" s="2">
        <v>15.7</v>
      </c>
      <c r="D13" s="2">
        <f>(C13-B13)/1000</f>
        <v>8.9599999999999992E-3</v>
      </c>
      <c r="E13" s="2">
        <f t="shared" si="10"/>
        <v>2E-3</v>
      </c>
      <c r="F13" s="2">
        <v>5.2</v>
      </c>
      <c r="G13" s="2">
        <v>3</v>
      </c>
      <c r="H13" s="3">
        <f t="shared" si="11"/>
        <v>89.6</v>
      </c>
      <c r="I13" s="3"/>
      <c r="J13" s="2"/>
      <c r="K13">
        <f t="shared" si="12"/>
        <v>17.23076923076923</v>
      </c>
      <c r="L13" s="3"/>
      <c r="M13" s="2"/>
      <c r="N13">
        <v>2</v>
      </c>
      <c r="O13" s="6">
        <v>23.3</v>
      </c>
      <c r="P13" s="6">
        <v>19.5</v>
      </c>
      <c r="Q13" s="7">
        <f t="shared" si="7"/>
        <v>16.309012875536482</v>
      </c>
      <c r="R13" s="42">
        <f t="shared" ref="R13:R14" si="13">((100-Q13)/100)*0.002*10</f>
        <v>1.6738197424892708E-2</v>
      </c>
      <c r="S13" s="42"/>
      <c r="T13" s="42"/>
      <c r="U13" s="42"/>
      <c r="V13" s="42"/>
      <c r="W13" s="7"/>
      <c r="X13" s="7"/>
    </row>
    <row r="14" spans="1:38" x14ac:dyDescent="0.3">
      <c r="A14" t="s">
        <v>18</v>
      </c>
      <c r="N14">
        <v>3</v>
      </c>
      <c r="O14" s="6">
        <v>23.3</v>
      </c>
      <c r="P14" s="6">
        <v>19.5</v>
      </c>
      <c r="Q14" s="7">
        <f t="shared" si="7"/>
        <v>16.309012875536482</v>
      </c>
      <c r="R14" s="42">
        <f t="shared" si="13"/>
        <v>1.6738197424892708E-2</v>
      </c>
      <c r="S14" s="42"/>
      <c r="T14" s="42"/>
      <c r="U14" s="42"/>
      <c r="V14" s="42"/>
      <c r="W14" s="7"/>
      <c r="X14" s="7"/>
    </row>
    <row r="15" spans="1:38" x14ac:dyDescent="0.3">
      <c r="A15">
        <v>1</v>
      </c>
      <c r="B15" s="2">
        <v>6.67</v>
      </c>
      <c r="C15" s="2">
        <v>13.29</v>
      </c>
      <c r="D15" s="2">
        <f>(C15-B15)/1000</f>
        <v>6.6199999999999991E-3</v>
      </c>
      <c r="E15" s="2">
        <f>20/(100^2)</f>
        <v>2E-3</v>
      </c>
      <c r="F15" s="2">
        <v>5.2</v>
      </c>
      <c r="G15" s="2">
        <v>3</v>
      </c>
      <c r="H15" s="3">
        <f>(D15/(E15*(G15/60)))</f>
        <v>66.199999999999989</v>
      </c>
      <c r="I15" s="3">
        <f>AVERAGE(H15:H17)</f>
        <v>70.899999999999991</v>
      </c>
      <c r="J15" s="2">
        <f>_xlfn.STDEV.P(H15:H17)</f>
        <v>3.3793490497431611</v>
      </c>
      <c r="K15">
        <f>H15/F15</f>
        <v>12.730769230769228</v>
      </c>
      <c r="L15" s="3">
        <f>AVERAGE(K15:K17)</f>
        <v>13.634615384615381</v>
      </c>
      <c r="M15" s="2">
        <f>_xlfn.STDEV.P(K15:K17)</f>
        <v>0.64987481725830032</v>
      </c>
      <c r="N15" s="8" t="s">
        <v>18</v>
      </c>
      <c r="O15" s="8"/>
      <c r="P15" s="8"/>
      <c r="Q15" s="9" t="e">
        <f t="shared" si="7"/>
        <v>#DIV/0!</v>
      </c>
      <c r="R15" s="9"/>
      <c r="S15" s="9"/>
      <c r="T15" s="9"/>
      <c r="U15" s="9"/>
      <c r="V15" s="9"/>
      <c r="W15" s="8"/>
      <c r="X15" s="8"/>
      <c r="Y15" s="24" t="s">
        <v>27</v>
      </c>
      <c r="Z15" s="24" t="s">
        <v>28</v>
      </c>
      <c r="AA15" s="24" t="s">
        <v>9</v>
      </c>
    </row>
    <row r="16" spans="1:38" x14ac:dyDescent="0.3">
      <c r="A16">
        <v>2</v>
      </c>
      <c r="B16" s="2">
        <v>6.68</v>
      </c>
      <c r="C16" s="2">
        <v>13.93</v>
      </c>
      <c r="D16" s="2">
        <f t="shared" ref="D16" si="14">(C16-B16)/1000</f>
        <v>7.2500000000000004E-3</v>
      </c>
      <c r="E16" s="2">
        <f t="shared" ref="E16:E17" si="15">20/(100^2)</f>
        <v>2E-3</v>
      </c>
      <c r="F16" s="2">
        <v>5.2</v>
      </c>
      <c r="G16" s="2">
        <v>3</v>
      </c>
      <c r="H16" s="3">
        <f t="shared" ref="H16:H17" si="16">(D16/(E16*(G16/60)))</f>
        <v>72.5</v>
      </c>
      <c r="I16" s="3"/>
      <c r="J16" s="3"/>
      <c r="K16">
        <f t="shared" ref="K16:K17" si="17">H16/F16</f>
        <v>13.942307692307692</v>
      </c>
      <c r="L16" s="3"/>
      <c r="M16" s="3"/>
      <c r="N16">
        <v>1</v>
      </c>
      <c r="O16" s="8">
        <v>23.9</v>
      </c>
      <c r="P16" s="8">
        <v>14.46</v>
      </c>
      <c r="Q16" s="9">
        <f t="shared" si="7"/>
        <v>39.497907949790786</v>
      </c>
      <c r="R16" s="41">
        <f>((100-Q16)/100)*0.002*10</f>
        <v>1.2100418410041842E-2</v>
      </c>
      <c r="S16" s="41">
        <f>AVERAGE(R16:R18)</f>
        <v>1.2499302649930266E-2</v>
      </c>
      <c r="T16" s="41">
        <f>R16/$S$12</f>
        <v>0.72045932441390514</v>
      </c>
      <c r="U16" s="41">
        <f>AVERAGE(T16:T18)</f>
        <v>0.74420890564746633</v>
      </c>
      <c r="V16" s="41">
        <f>_xlfn.STDEV.P(T16:T18)</f>
        <v>1.9324006447188923E-2</v>
      </c>
      <c r="W16" s="9">
        <f>AVERAGE(Q16:Q17)</f>
        <v>38.49372384937238</v>
      </c>
      <c r="X16" s="9">
        <f>_xlfn.STDEV.P(Q16:Q17)</f>
        <v>1.0041841004184064</v>
      </c>
      <c r="Y16">
        <v>0</v>
      </c>
      <c r="Z16">
        <v>0</v>
      </c>
      <c r="AA16">
        <v>0</v>
      </c>
    </row>
    <row r="17" spans="1:27" x14ac:dyDescent="0.3">
      <c r="A17">
        <v>3</v>
      </c>
      <c r="B17" s="2">
        <v>6.7</v>
      </c>
      <c r="C17" s="2">
        <v>14.1</v>
      </c>
      <c r="D17" s="2">
        <f>(C17-B17)/1000</f>
        <v>7.3999999999999995E-3</v>
      </c>
      <c r="E17" s="2">
        <f t="shared" si="15"/>
        <v>2E-3</v>
      </c>
      <c r="F17" s="2">
        <v>5.2</v>
      </c>
      <c r="G17" s="2">
        <v>3</v>
      </c>
      <c r="H17" s="3">
        <f t="shared" si="16"/>
        <v>73.999999999999986</v>
      </c>
      <c r="I17" s="3"/>
      <c r="J17" s="2"/>
      <c r="K17">
        <f t="shared" si="17"/>
        <v>14.230769230769228</v>
      </c>
      <c r="L17" s="3"/>
      <c r="M17" s="2"/>
      <c r="N17">
        <v>2</v>
      </c>
      <c r="O17" s="8">
        <v>23.9</v>
      </c>
      <c r="P17" s="8">
        <v>14.94</v>
      </c>
      <c r="Q17" s="9">
        <f t="shared" si="7"/>
        <v>37.489539748953973</v>
      </c>
      <c r="R17" s="41">
        <f t="shared" ref="R17:R18" si="18">((100-Q17)/100)*0.002*10</f>
        <v>1.2502092050209206E-2</v>
      </c>
      <c r="S17" s="41"/>
      <c r="T17" s="41">
        <f t="shared" ref="T17:T18" si="19">R17/$S$12</f>
        <v>0.74437498663511359</v>
      </c>
      <c r="U17" s="41"/>
      <c r="V17" s="41"/>
      <c r="W17" s="9"/>
      <c r="X17" s="9"/>
      <c r="Y17">
        <v>0</v>
      </c>
      <c r="Z17">
        <v>0</v>
      </c>
      <c r="AA17">
        <v>0</v>
      </c>
    </row>
    <row r="18" spans="1:27" x14ac:dyDescent="0.3">
      <c r="A18" t="s">
        <v>20</v>
      </c>
      <c r="N18">
        <v>3</v>
      </c>
      <c r="O18" s="8">
        <v>23.9</v>
      </c>
      <c r="P18" s="8">
        <v>15.41</v>
      </c>
      <c r="Q18" s="9">
        <f t="shared" si="7"/>
        <v>35.523012552301253</v>
      </c>
      <c r="R18" s="41">
        <f t="shared" si="18"/>
        <v>1.2895397489539748E-2</v>
      </c>
      <c r="S18" s="41"/>
      <c r="T18" s="41">
        <f t="shared" si="19"/>
        <v>0.76779240589338016</v>
      </c>
      <c r="U18" s="41"/>
      <c r="V18" s="41"/>
      <c r="W18" s="9"/>
      <c r="X18" s="9"/>
      <c r="Y18">
        <v>0</v>
      </c>
      <c r="Z18">
        <v>0</v>
      </c>
      <c r="AA18">
        <v>0</v>
      </c>
    </row>
    <row r="19" spans="1:27" x14ac:dyDescent="0.3">
      <c r="A19">
        <v>1</v>
      </c>
      <c r="B19" s="2">
        <v>6.69</v>
      </c>
      <c r="C19" s="2">
        <v>10.79</v>
      </c>
      <c r="D19" s="2">
        <f>(C19-B19)/1000</f>
        <v>4.0999999999999986E-3</v>
      </c>
      <c r="E19" s="2">
        <f>20/(100^2)</f>
        <v>2E-3</v>
      </c>
      <c r="F19" s="2">
        <v>5.2</v>
      </c>
      <c r="G19" s="2">
        <v>3</v>
      </c>
      <c r="H19" s="3">
        <f>(D19/(E19*(G19/60)))</f>
        <v>40.999999999999986</v>
      </c>
      <c r="I19" s="3">
        <f>AVERAGE(H19:H21)</f>
        <v>44.199999999999989</v>
      </c>
      <c r="J19" s="2">
        <f>_xlfn.STDEV.P(H19:H21)</f>
        <v>2.3551362310207651</v>
      </c>
      <c r="K19">
        <f>H19/F19</f>
        <v>7.8846153846153815</v>
      </c>
      <c r="L19" s="3">
        <f>AVERAGE(K19:K21)</f>
        <v>8.4999999999999982</v>
      </c>
      <c r="M19" s="2">
        <f>_xlfn.STDEV.P(K19:K21)</f>
        <v>0.45291081365783947</v>
      </c>
      <c r="N19" s="10" t="s">
        <v>20</v>
      </c>
      <c r="O19" s="10"/>
      <c r="P19" s="10"/>
      <c r="Q19" s="11" t="e">
        <f t="shared" si="7"/>
        <v>#DIV/0!</v>
      </c>
      <c r="R19" s="11"/>
      <c r="S19" s="11"/>
      <c r="T19" s="11"/>
      <c r="U19" s="11"/>
      <c r="V19" s="11"/>
      <c r="W19" s="10"/>
      <c r="X19" s="10"/>
    </row>
    <row r="20" spans="1:27" x14ac:dyDescent="0.3">
      <c r="A20">
        <v>2</v>
      </c>
      <c r="B20" s="2">
        <v>6.66</v>
      </c>
      <c r="C20" s="2">
        <v>11.16</v>
      </c>
      <c r="D20" s="2">
        <f t="shared" ref="D20" si="20">(C20-B20)/1000</f>
        <v>4.4999999999999997E-3</v>
      </c>
      <c r="E20" s="2">
        <f t="shared" ref="E20:E21" si="21">20/(100^2)</f>
        <v>2E-3</v>
      </c>
      <c r="F20" s="2">
        <v>5.2</v>
      </c>
      <c r="G20" s="2">
        <v>3</v>
      </c>
      <c r="H20" s="3">
        <f t="shared" ref="H20:H21" si="22">(D20/(E20*(G20/60)))</f>
        <v>44.999999999999993</v>
      </c>
      <c r="I20" s="3"/>
      <c r="J20" s="3"/>
      <c r="K20">
        <f t="shared" ref="K20:K21" si="23">H20/F20</f>
        <v>8.6538461538461515</v>
      </c>
      <c r="L20" s="3"/>
      <c r="M20" s="3"/>
      <c r="N20">
        <v>1</v>
      </c>
      <c r="O20" s="10">
        <v>22.8</v>
      </c>
      <c r="P20" s="10">
        <v>12.6</v>
      </c>
      <c r="Q20" s="11">
        <f t="shared" si="7"/>
        <v>44.736842105263165</v>
      </c>
      <c r="R20" s="40">
        <f>((100-Q20)/100)*0.002*10</f>
        <v>1.1052631578947368E-2</v>
      </c>
      <c r="S20" s="40">
        <f>AVERAGE(R20:R22)</f>
        <v>1.131578947368421E-2</v>
      </c>
      <c r="T20" s="40">
        <f>R20/$S$16</f>
        <v>0.88425985740964763</v>
      </c>
      <c r="U20" s="40">
        <f>AVERAGE(T20:T22)</f>
        <v>0.90531366353844878</v>
      </c>
      <c r="V20" s="40">
        <f>_xlfn.STDEV.P(T20:T22)</f>
        <v>5.0930422726770994E-2</v>
      </c>
      <c r="W20" s="11">
        <f>AVERAGE(Q20:Q21)</f>
        <v>45.614035087719301</v>
      </c>
      <c r="X20" s="11">
        <f>_xlfn.STDEV.P(Q20:Q21)</f>
        <v>0.87719298245614041</v>
      </c>
      <c r="Y20" s="18">
        <f>Q20-$Q$16</f>
        <v>5.2389341554723785</v>
      </c>
    </row>
    <row r="21" spans="1:27" x14ac:dyDescent="0.3">
      <c r="A21">
        <v>3</v>
      </c>
      <c r="B21" s="2">
        <v>6.65</v>
      </c>
      <c r="C21" s="2">
        <v>11.31</v>
      </c>
      <c r="D21" s="2">
        <f>(C21-B21)/1000</f>
        <v>4.6600000000000001E-3</v>
      </c>
      <c r="E21" s="2">
        <f t="shared" si="21"/>
        <v>2E-3</v>
      </c>
      <c r="F21" s="2">
        <v>5.2</v>
      </c>
      <c r="G21" s="2">
        <v>3</v>
      </c>
      <c r="H21" s="3">
        <f t="shared" si="22"/>
        <v>46.6</v>
      </c>
      <c r="I21" s="3"/>
      <c r="J21" s="2"/>
      <c r="K21">
        <f t="shared" si="23"/>
        <v>8.9615384615384617</v>
      </c>
      <c r="L21" s="3"/>
      <c r="M21" s="2"/>
      <c r="N21">
        <v>2</v>
      </c>
      <c r="O21" s="10">
        <v>22.8</v>
      </c>
      <c r="P21" s="10">
        <v>12.2</v>
      </c>
      <c r="Q21" s="11">
        <f t="shared" si="7"/>
        <v>46.491228070175445</v>
      </c>
      <c r="R21" s="40">
        <f t="shared" ref="R21:R22" si="24">((100-Q21)/100)*0.002*10</f>
        <v>1.070175438596491E-2</v>
      </c>
      <c r="S21" s="40"/>
      <c r="T21" s="40">
        <f t="shared" ref="T21:T22" si="25">R21/$S$16</f>
        <v>0.85618811590457933</v>
      </c>
      <c r="U21" s="40"/>
      <c r="V21" s="40"/>
      <c r="W21" s="11"/>
      <c r="X21" s="11"/>
      <c r="Y21" s="18">
        <f>Q21-$Q$17</f>
        <v>9.0016883212214722</v>
      </c>
      <c r="Z21" s="18">
        <f>AVERAGE(Y20:Y22)</f>
        <v>5.9175658812302814</v>
      </c>
      <c r="AA21">
        <f>_xlfn.STDEV.P(Y20:Y22)</f>
        <v>2.2919233422553598</v>
      </c>
    </row>
    <row r="22" spans="1:27" x14ac:dyDescent="0.3">
      <c r="A22" t="s">
        <v>21</v>
      </c>
      <c r="N22">
        <v>3</v>
      </c>
      <c r="O22" s="10">
        <v>22.8</v>
      </c>
      <c r="P22" s="10">
        <v>13.9</v>
      </c>
      <c r="Q22" s="11">
        <f t="shared" si="7"/>
        <v>39.035087719298247</v>
      </c>
      <c r="R22" s="40">
        <f t="shared" si="24"/>
        <v>1.2192982456140351E-2</v>
      </c>
      <c r="S22" s="40"/>
      <c r="T22" s="40">
        <f t="shared" si="25"/>
        <v>0.97549301730111926</v>
      </c>
      <c r="U22" s="40"/>
      <c r="V22" s="40"/>
      <c r="W22" s="11"/>
      <c r="X22" s="11"/>
      <c r="Y22" s="18">
        <f>Q22-$Q$18</f>
        <v>3.5120751669969934</v>
      </c>
    </row>
    <row r="23" spans="1:27" x14ac:dyDescent="0.3">
      <c r="A23">
        <v>1</v>
      </c>
      <c r="B23" s="2">
        <v>6.68</v>
      </c>
      <c r="C23" s="2">
        <v>11.76</v>
      </c>
      <c r="D23" s="2">
        <f>(C23-B23)/1000</f>
        <v>5.0800000000000003E-3</v>
      </c>
      <c r="E23" s="2">
        <f>20/(100^2)</f>
        <v>2E-3</v>
      </c>
      <c r="F23" s="2">
        <v>5.2</v>
      </c>
      <c r="G23" s="2">
        <v>3</v>
      </c>
      <c r="H23" s="3">
        <f>(D23/(E23*(G23/60)))</f>
        <v>50.8</v>
      </c>
      <c r="I23" s="3">
        <f>AVERAGE(H23:H25)</f>
        <v>54.666666666666664</v>
      </c>
      <c r="J23" s="2">
        <f>_xlfn.STDEV.P(H23:H25)</f>
        <v>2.8110891523077348</v>
      </c>
      <c r="K23">
        <f>H23/F23</f>
        <v>9.7692307692307683</v>
      </c>
      <c r="L23" s="3">
        <f>AVERAGE(K23:K25)</f>
        <v>10.512820512820511</v>
      </c>
      <c r="M23" s="2">
        <f>_xlfn.STDEV.P(K23:K25)</f>
        <v>0.54059406775148766</v>
      </c>
      <c r="N23" s="12" t="s">
        <v>21</v>
      </c>
      <c r="O23" s="12"/>
      <c r="P23" s="12"/>
      <c r="Q23" s="13" t="e">
        <f t="shared" si="7"/>
        <v>#DIV/0!</v>
      </c>
      <c r="R23" s="13"/>
      <c r="S23" s="13"/>
      <c r="T23" s="13"/>
      <c r="U23" s="13"/>
      <c r="V23" s="13"/>
      <c r="W23" s="12"/>
      <c r="X23" s="12"/>
    </row>
    <row r="24" spans="1:27" x14ac:dyDescent="0.3">
      <c r="A24">
        <v>2</v>
      </c>
      <c r="B24" s="2">
        <v>6.69</v>
      </c>
      <c r="C24" s="2">
        <v>12.27</v>
      </c>
      <c r="D24" s="2">
        <f t="shared" ref="D24" si="26">(C24-B24)/1000</f>
        <v>5.579999999999999E-3</v>
      </c>
      <c r="E24" s="2">
        <f t="shared" ref="E24:E25" si="27">20/(100^2)</f>
        <v>2E-3</v>
      </c>
      <c r="F24" s="2">
        <v>5.2</v>
      </c>
      <c r="G24" s="2">
        <v>3</v>
      </c>
      <c r="H24" s="3">
        <f t="shared" ref="H24:H25" si="28">(D24/(E24*(G24/60)))</f>
        <v>55.79999999999999</v>
      </c>
      <c r="I24" s="3"/>
      <c r="J24" s="3"/>
      <c r="K24">
        <f t="shared" ref="K24:K25" si="29">H24/F24</f>
        <v>10.730769230769228</v>
      </c>
      <c r="L24" s="3"/>
      <c r="M24" s="3"/>
      <c r="N24">
        <v>1</v>
      </c>
      <c r="O24" s="12">
        <v>22.7</v>
      </c>
      <c r="P24" s="12">
        <v>3.59</v>
      </c>
      <c r="Q24" s="13">
        <f t="shared" si="7"/>
        <v>84.185022026431724</v>
      </c>
      <c r="R24" s="39">
        <f>((100-Q24)/100)*0.002*10</f>
        <v>3.1629955947136551E-3</v>
      </c>
      <c r="S24" s="39">
        <f>AVERAGE(R24:R26)</f>
        <v>3.1160058737151244E-3</v>
      </c>
      <c r="T24" s="39">
        <f>R24/$S$16</f>
        <v>0.2530537649419427</v>
      </c>
      <c r="U24" s="39">
        <f>AVERAGE(T24:T26)</f>
        <v>0.24929437753333453</v>
      </c>
      <c r="V24" s="39">
        <f>_xlfn.STDEV.P(T24:T26)</f>
        <v>3.5165849167909618E-3</v>
      </c>
      <c r="W24" s="13">
        <f>AVERAGE(Q24:Q25)</f>
        <v>84.449339207048467</v>
      </c>
      <c r="X24" s="13">
        <f>_xlfn.STDEV.P(Q24:Q25)</f>
        <v>0.26431718061673593</v>
      </c>
      <c r="Y24" s="18">
        <f>Q24-$Q$16</f>
        <v>44.687114076640938</v>
      </c>
    </row>
    <row r="25" spans="1:27" x14ac:dyDescent="0.3">
      <c r="A25">
        <v>3</v>
      </c>
      <c r="B25" s="2">
        <v>6.65</v>
      </c>
      <c r="C25" s="2">
        <v>12.39</v>
      </c>
      <c r="D25" s="2">
        <f>(C25-B25)/1000</f>
        <v>5.7400000000000003E-3</v>
      </c>
      <c r="E25" s="2">
        <f t="shared" si="27"/>
        <v>2E-3</v>
      </c>
      <c r="F25" s="2">
        <v>5.2</v>
      </c>
      <c r="G25" s="2">
        <v>3</v>
      </c>
      <c r="H25" s="3">
        <f t="shared" si="28"/>
        <v>57.4</v>
      </c>
      <c r="I25" s="3"/>
      <c r="J25" s="2"/>
      <c r="K25">
        <f t="shared" si="29"/>
        <v>11.038461538461538</v>
      </c>
      <c r="L25" s="3"/>
      <c r="M25" s="2"/>
      <c r="N25">
        <v>2</v>
      </c>
      <c r="O25" s="12">
        <v>22.7</v>
      </c>
      <c r="P25" s="12">
        <v>3.47</v>
      </c>
      <c r="Q25" s="13">
        <f t="shared" si="7"/>
        <v>84.713656387665196</v>
      </c>
      <c r="R25" s="39">
        <f t="shared" ref="R25:R26" si="30">((100-Q25)/100)*0.002*10</f>
        <v>3.0572687224669605E-3</v>
      </c>
      <c r="S25" s="39"/>
      <c r="T25" s="39">
        <f t="shared" ref="T25:T26" si="31">R25/$S$16</f>
        <v>0.24459514327257426</v>
      </c>
      <c r="U25" s="39"/>
      <c r="V25" s="39"/>
      <c r="W25" s="13"/>
      <c r="X25" s="13"/>
      <c r="Y25" s="18">
        <f>Q25-$Q$17</f>
        <v>47.224116638711223</v>
      </c>
      <c r="Z25" s="18">
        <f>AVERAGE(Y24:Y26)</f>
        <v>46.916483881075713</v>
      </c>
      <c r="AA25">
        <f>_xlfn.STDEV.P(Y24:Y26)</f>
        <v>1.7085862494605157</v>
      </c>
    </row>
    <row r="26" spans="1:27" x14ac:dyDescent="0.3">
      <c r="A26" t="s">
        <v>22</v>
      </c>
      <c r="N26">
        <v>3</v>
      </c>
      <c r="O26" s="12">
        <v>22.7</v>
      </c>
      <c r="P26" s="12">
        <v>3.55</v>
      </c>
      <c r="Q26" s="13">
        <f t="shared" si="7"/>
        <v>84.36123348017621</v>
      </c>
      <c r="R26" s="39">
        <f t="shared" si="30"/>
        <v>3.1277533039647579E-3</v>
      </c>
      <c r="S26" s="39"/>
      <c r="T26" s="39">
        <f t="shared" si="31"/>
        <v>0.25023422438548665</v>
      </c>
      <c r="U26" s="39"/>
      <c r="V26" s="39"/>
      <c r="W26" s="13"/>
      <c r="X26" s="13"/>
      <c r="Y26" s="18">
        <f>Q26-$Q$18</f>
        <v>48.838220927874957</v>
      </c>
    </row>
    <row r="27" spans="1:27" x14ac:dyDescent="0.3">
      <c r="A27">
        <v>1</v>
      </c>
      <c r="B27" s="2">
        <v>6.69</v>
      </c>
      <c r="C27" s="2">
        <v>12.25</v>
      </c>
      <c r="D27" s="2">
        <f>(C27-B27)/1000</f>
        <v>5.5599999999999998E-3</v>
      </c>
      <c r="E27" s="2">
        <f>20/(100^2)</f>
        <v>2E-3</v>
      </c>
      <c r="F27" s="2">
        <v>5.2</v>
      </c>
      <c r="G27" s="2">
        <v>3</v>
      </c>
      <c r="H27" s="3">
        <f>(D27/(E27*(G27/60)))</f>
        <v>55.599999999999994</v>
      </c>
      <c r="I27" s="3">
        <f>AVERAGE(H27:H29)</f>
        <v>59.766666666666659</v>
      </c>
      <c r="J27" s="2">
        <f>_xlfn.STDEV.P(H27:H29)</f>
        <v>3.009245014211297</v>
      </c>
      <c r="K27">
        <f>H27/F27</f>
        <v>10.692307692307692</v>
      </c>
      <c r="L27" s="3">
        <f>AVERAGE(K27:K29)</f>
        <v>11.493589743589743</v>
      </c>
      <c r="M27" s="2">
        <f>_xlfn.STDEV.P(K27:K29)</f>
        <v>0.57870096427140261</v>
      </c>
      <c r="N27" s="14" t="s">
        <v>22</v>
      </c>
      <c r="O27" s="14"/>
      <c r="P27" s="14"/>
      <c r="Q27" s="15" t="e">
        <f t="shared" si="7"/>
        <v>#DIV/0!</v>
      </c>
      <c r="R27" s="15"/>
      <c r="S27" s="15"/>
      <c r="T27" s="15"/>
      <c r="U27" s="15"/>
      <c r="V27" s="15"/>
      <c r="W27" s="14"/>
      <c r="X27" s="14"/>
    </row>
    <row r="28" spans="1:27" x14ac:dyDescent="0.3">
      <c r="A28">
        <v>2</v>
      </c>
      <c r="B28" s="2">
        <v>6.73</v>
      </c>
      <c r="C28" s="2">
        <v>12.84</v>
      </c>
      <c r="D28" s="2">
        <f t="shared" ref="D28" si="32">(C28-B28)/1000</f>
        <v>6.1099999999999991E-3</v>
      </c>
      <c r="E28" s="2">
        <f t="shared" ref="E28:E29" si="33">20/(100^2)</f>
        <v>2E-3</v>
      </c>
      <c r="F28" s="2">
        <v>5.2</v>
      </c>
      <c r="G28" s="2">
        <v>3</v>
      </c>
      <c r="H28" s="3">
        <f t="shared" ref="H28:H29" si="34">(D28/(E28*(G28/60)))</f>
        <v>61.099999999999987</v>
      </c>
      <c r="I28" s="3"/>
      <c r="J28" s="3"/>
      <c r="K28">
        <f>H28/F28</f>
        <v>11.749999999999996</v>
      </c>
      <c r="L28" s="3"/>
      <c r="M28" s="3"/>
      <c r="N28">
        <v>1</v>
      </c>
      <c r="O28" s="14">
        <v>22.9</v>
      </c>
      <c r="P28" s="14">
        <v>2.68</v>
      </c>
      <c r="Q28" s="15">
        <f t="shared" si="7"/>
        <v>88.296943231441048</v>
      </c>
      <c r="R28" s="38">
        <f>((100-Q28)/100)*0.002*10</f>
        <v>2.3406113537117901E-3</v>
      </c>
      <c r="S28" s="38">
        <f>AVERAGE(R28:R30)</f>
        <v>2.2299854439592434E-3</v>
      </c>
      <c r="T28" s="38">
        <f>R28/$S$16</f>
        <v>0.18725935512289146</v>
      </c>
      <c r="U28" s="38">
        <f>AVERAGE(T28:T30)</f>
        <v>0.17840878858723244</v>
      </c>
      <c r="V28" s="38">
        <f>_xlfn.STDEV.P(T28:T30)</f>
        <v>7.4239378699812106E-3</v>
      </c>
      <c r="W28" s="15">
        <f>AVERAGE(Q28:Q29)</f>
        <v>88.864628820960689</v>
      </c>
      <c r="X28" s="15">
        <f>_xlfn.STDEV.P(Q28:Q29)</f>
        <v>0.5676855895196482</v>
      </c>
      <c r="Y28" s="18">
        <f>Q28-$Q$16</f>
        <v>48.799035281650262</v>
      </c>
    </row>
    <row r="29" spans="1:27" x14ac:dyDescent="0.3">
      <c r="A29">
        <v>3</v>
      </c>
      <c r="B29" s="2">
        <v>6.68</v>
      </c>
      <c r="C29" s="2">
        <v>12.94</v>
      </c>
      <c r="D29" s="2">
        <f>(C29-B29)/1000</f>
        <v>6.2599999999999999E-3</v>
      </c>
      <c r="E29" s="2">
        <f t="shared" si="33"/>
        <v>2E-3</v>
      </c>
      <c r="F29" s="2">
        <v>5.2</v>
      </c>
      <c r="G29" s="2">
        <v>3</v>
      </c>
      <c r="H29" s="3">
        <f t="shared" si="34"/>
        <v>62.599999999999994</v>
      </c>
      <c r="I29" s="3"/>
      <c r="J29" s="2"/>
      <c r="K29">
        <f>H29/F29</f>
        <v>12.038461538461537</v>
      </c>
      <c r="L29" s="3"/>
      <c r="M29" s="2"/>
      <c r="N29">
        <v>2</v>
      </c>
      <c r="O29" s="14">
        <v>22.9</v>
      </c>
      <c r="P29" s="14">
        <v>2.42</v>
      </c>
      <c r="Q29" s="15">
        <f t="shared" si="7"/>
        <v>89.432314410480345</v>
      </c>
      <c r="R29" s="38">
        <f t="shared" ref="R29:R30" si="35">((100-Q29)/100)*0.002*10</f>
        <v>2.1135371179039314E-3</v>
      </c>
      <c r="S29" s="38"/>
      <c r="T29" s="38">
        <f t="shared" ref="T29:T30" si="36">R29/$S$16</f>
        <v>0.16909240276022303</v>
      </c>
      <c r="U29" s="38"/>
      <c r="V29" s="38"/>
      <c r="W29" s="15"/>
      <c r="X29" s="15"/>
      <c r="Y29" s="18">
        <f>Q29-$Q$17</f>
        <v>51.942774661526371</v>
      </c>
      <c r="Z29" s="18">
        <f>AVERAGE(Y28:Y30)</f>
        <v>51.346586029855111</v>
      </c>
      <c r="AA29">
        <f>_xlfn.STDEV.P(Y28:Y30)</f>
        <v>1.884433585020143</v>
      </c>
    </row>
    <row r="30" spans="1:27" x14ac:dyDescent="0.3">
      <c r="N30">
        <v>3</v>
      </c>
      <c r="O30" s="14">
        <v>22.9</v>
      </c>
      <c r="P30" s="14">
        <v>2.56</v>
      </c>
      <c r="Q30" s="15">
        <f t="shared" si="7"/>
        <v>88.820960698689959</v>
      </c>
      <c r="R30" s="38">
        <f t="shared" si="35"/>
        <v>2.2358078602620081E-3</v>
      </c>
      <c r="S30" s="38"/>
      <c r="T30" s="38">
        <f t="shared" si="36"/>
        <v>0.17887460787858286</v>
      </c>
      <c r="U30" s="38"/>
      <c r="V30" s="38"/>
      <c r="W30" s="15"/>
      <c r="X30" s="15"/>
      <c r="Y30" s="18">
        <f>Q30-$Q$18</f>
        <v>53.297948146388705</v>
      </c>
    </row>
    <row r="31" spans="1:27" x14ac:dyDescent="0.3"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</row>
    <row r="33" spans="14:27" x14ac:dyDescent="0.3">
      <c r="N33" s="19"/>
      <c r="O33" s="19"/>
      <c r="P33" s="19"/>
      <c r="Q33" s="19"/>
      <c r="R33" s="25"/>
      <c r="S33" s="25"/>
      <c r="T33" s="25"/>
      <c r="U33" s="25"/>
      <c r="V33" s="25"/>
      <c r="W33" s="19"/>
      <c r="X33" s="19"/>
    </row>
    <row r="36" spans="14:27" x14ac:dyDescent="0.3">
      <c r="N36" s="50" t="s">
        <v>44</v>
      </c>
      <c r="O36" s="50"/>
      <c r="P36" s="50"/>
      <c r="Q36" s="50"/>
      <c r="R36" s="50"/>
      <c r="S36" s="50"/>
      <c r="T36" s="50"/>
      <c r="U36" s="50"/>
      <c r="V36" s="50"/>
      <c r="W36" s="50"/>
      <c r="X36" s="50"/>
    </row>
    <row r="37" spans="14:27" x14ac:dyDescent="0.3">
      <c r="N37" s="25" t="s">
        <v>0</v>
      </c>
      <c r="O37" s="25" t="s">
        <v>41</v>
      </c>
      <c r="P37" s="25" t="s">
        <v>42</v>
      </c>
      <c r="Q37" s="25" t="s">
        <v>27</v>
      </c>
      <c r="R37" s="25" t="s">
        <v>71</v>
      </c>
      <c r="S37" s="25" t="s">
        <v>72</v>
      </c>
      <c r="T37" s="25" t="s">
        <v>73</v>
      </c>
      <c r="U37" s="25" t="s">
        <v>74</v>
      </c>
      <c r="V37" s="25" t="s">
        <v>75</v>
      </c>
      <c r="W37" s="25" t="s">
        <v>28</v>
      </c>
      <c r="X37" s="25" t="s">
        <v>9</v>
      </c>
    </row>
    <row r="38" spans="14:27" x14ac:dyDescent="0.3">
      <c r="N38" s="4" t="s">
        <v>17</v>
      </c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4:27" x14ac:dyDescent="0.3">
      <c r="N39">
        <v>1</v>
      </c>
      <c r="O39" s="4">
        <v>17.3</v>
      </c>
      <c r="P39" s="4">
        <v>12.1</v>
      </c>
      <c r="Q39" s="5">
        <f t="shared" ref="Q39:Q61" si="37">(O39-P39)*100/O39</f>
        <v>30.057803468208096</v>
      </c>
      <c r="R39" s="37">
        <f>((100-Q39)/100)*0.02*10</f>
        <v>0.13988439306358383</v>
      </c>
      <c r="S39" s="37">
        <f>AVERAGE(R39:R41)</f>
        <v>0.14527938342967248</v>
      </c>
      <c r="T39" s="37"/>
      <c r="U39" s="37"/>
      <c r="V39" s="37"/>
      <c r="W39" s="5">
        <f>AVERAGE(Q39:Q40)</f>
        <v>26.589595375722546</v>
      </c>
      <c r="X39" s="5">
        <f>_xlfn.STDEV.P(Q39:Q40)</f>
        <v>3.4682080924855399</v>
      </c>
    </row>
    <row r="40" spans="14:27" x14ac:dyDescent="0.3">
      <c r="N40">
        <v>2</v>
      </c>
      <c r="O40" s="4">
        <v>17.3</v>
      </c>
      <c r="P40" s="4">
        <v>13.3</v>
      </c>
      <c r="Q40" s="5">
        <f t="shared" si="37"/>
        <v>23.121387283236992</v>
      </c>
      <c r="R40" s="37">
        <f t="shared" ref="R40:R41" si="38">((100-Q40)/100)*0.02*10</f>
        <v>0.15375722543352602</v>
      </c>
      <c r="S40" s="37"/>
      <c r="T40" s="37"/>
      <c r="U40" s="37"/>
      <c r="V40" s="37"/>
      <c r="W40" s="5"/>
      <c r="X40" s="5"/>
    </row>
    <row r="41" spans="14:27" x14ac:dyDescent="0.3">
      <c r="N41">
        <v>3</v>
      </c>
      <c r="O41" s="4">
        <v>17.3</v>
      </c>
      <c r="P41" s="4">
        <v>12.3</v>
      </c>
      <c r="Q41" s="5">
        <f t="shared" si="37"/>
        <v>28.901734104046241</v>
      </c>
      <c r="R41" s="37">
        <f t="shared" si="38"/>
        <v>0.14219653179190753</v>
      </c>
      <c r="S41" s="37"/>
      <c r="T41" s="37"/>
      <c r="U41" s="37"/>
      <c r="V41" s="37"/>
      <c r="W41" s="5"/>
      <c r="X41" s="5"/>
    </row>
    <row r="42" spans="14:27" x14ac:dyDescent="0.3">
      <c r="N42" s="6" t="s">
        <v>19</v>
      </c>
      <c r="O42" s="6"/>
      <c r="P42" s="6"/>
      <c r="Q42" s="7" t="e">
        <f t="shared" si="37"/>
        <v>#DIV/0!</v>
      </c>
      <c r="R42" s="7"/>
      <c r="S42" s="7"/>
      <c r="T42" s="7"/>
      <c r="U42" s="7"/>
      <c r="V42" s="7"/>
      <c r="W42" s="6"/>
      <c r="X42" s="6"/>
    </row>
    <row r="43" spans="14:27" x14ac:dyDescent="0.3">
      <c r="N43">
        <v>1</v>
      </c>
      <c r="O43" s="6">
        <v>17.2</v>
      </c>
      <c r="P43" s="6">
        <v>15.3</v>
      </c>
      <c r="Q43" s="7">
        <f t="shared" si="37"/>
        <v>11.04651162790697</v>
      </c>
      <c r="R43" s="42">
        <f>((100-Q43)/100)*0.02*10</f>
        <v>0.1779069767441861</v>
      </c>
      <c r="S43" s="42">
        <f>AVERAGE(R43:R45)</f>
        <v>0.17519379844961244</v>
      </c>
      <c r="T43" s="42"/>
      <c r="U43" s="42"/>
      <c r="V43" s="42"/>
      <c r="W43" s="7">
        <f>AVERAGE(Q43:Q44)</f>
        <v>12.499999999999993</v>
      </c>
      <c r="X43" s="7">
        <f>_xlfn.STDEV.P(Q43:Q44)</f>
        <v>1.4534883720930183</v>
      </c>
    </row>
    <row r="44" spans="14:27" x14ac:dyDescent="0.3">
      <c r="N44">
        <v>2</v>
      </c>
      <c r="O44" s="6">
        <v>17.2</v>
      </c>
      <c r="P44" s="6">
        <v>14.8</v>
      </c>
      <c r="Q44" s="7">
        <f t="shared" si="37"/>
        <v>13.953488372093016</v>
      </c>
      <c r="R44" s="42">
        <f t="shared" ref="R44:R45" si="39">((100-Q44)/100)*0.02*10</f>
        <v>0.17209302325581399</v>
      </c>
      <c r="S44" s="42"/>
      <c r="T44" s="42"/>
      <c r="U44" s="42"/>
      <c r="V44" s="42"/>
      <c r="W44" s="7"/>
      <c r="X44" s="7"/>
    </row>
    <row r="45" spans="14:27" x14ac:dyDescent="0.3">
      <c r="N45">
        <v>3</v>
      </c>
      <c r="O45" s="6">
        <v>17.2</v>
      </c>
      <c r="P45" s="6">
        <v>15.1</v>
      </c>
      <c r="Q45" s="7">
        <f t="shared" si="37"/>
        <v>12.209302325581394</v>
      </c>
      <c r="R45" s="42">
        <f t="shared" si="39"/>
        <v>0.17558139534883721</v>
      </c>
      <c r="S45" s="42"/>
      <c r="T45" s="42"/>
      <c r="U45" s="42"/>
      <c r="V45" s="42"/>
      <c r="W45" s="7"/>
      <c r="X45" s="7"/>
    </row>
    <row r="46" spans="14:27" x14ac:dyDescent="0.3">
      <c r="N46" s="8" t="s">
        <v>18</v>
      </c>
      <c r="O46" s="8"/>
      <c r="P46" s="8"/>
      <c r="Q46" s="9" t="e">
        <f t="shared" si="37"/>
        <v>#DIV/0!</v>
      </c>
      <c r="R46" s="9"/>
      <c r="S46" s="9"/>
      <c r="T46" s="9"/>
      <c r="U46" s="9"/>
      <c r="V46" s="9"/>
      <c r="W46" s="8"/>
      <c r="X46" s="8"/>
      <c r="Y46" s="24" t="s">
        <v>27</v>
      </c>
      <c r="Z46" s="24" t="s">
        <v>28</v>
      </c>
      <c r="AA46" s="24" t="s">
        <v>9</v>
      </c>
    </row>
    <row r="47" spans="14:27" x14ac:dyDescent="0.3">
      <c r="N47">
        <v>1</v>
      </c>
      <c r="O47" s="8">
        <v>16.7</v>
      </c>
      <c r="P47" s="8">
        <v>14.5</v>
      </c>
      <c r="Q47" s="9">
        <f t="shared" si="37"/>
        <v>13.173652694610775</v>
      </c>
      <c r="R47" s="41">
        <f>((100-Q47)/100)*0.02*10</f>
        <v>0.17365269461077845</v>
      </c>
      <c r="S47" s="41">
        <f>AVERAGE(R47:R49)</f>
        <v>0.17005988023952098</v>
      </c>
      <c r="T47" s="41">
        <f>R47/$S$43</f>
        <v>0.99120343384028387</v>
      </c>
      <c r="U47" s="41">
        <f>AVERAGE(T47:T49)</f>
        <v>0.97069577658841588</v>
      </c>
      <c r="V47" s="41">
        <f>_xlfn.STDEV.P(T47:T49)</f>
        <v>4.960925576039011E-2</v>
      </c>
      <c r="W47" s="9">
        <f>AVERAGE(Q47:Q48)</f>
        <v>17.065868263473053</v>
      </c>
      <c r="X47" s="9">
        <f>_xlfn.STDEV.P(Q47:Q48)</f>
        <v>3.8922155688622677</v>
      </c>
      <c r="Y47">
        <v>0</v>
      </c>
      <c r="Z47">
        <v>0</v>
      </c>
      <c r="AA47">
        <v>0</v>
      </c>
    </row>
    <row r="48" spans="14:27" x14ac:dyDescent="0.3">
      <c r="N48">
        <v>2</v>
      </c>
      <c r="O48" s="8">
        <v>16.7</v>
      </c>
      <c r="P48" s="8">
        <v>13.2</v>
      </c>
      <c r="Q48" s="9">
        <f t="shared" si="37"/>
        <v>20.95808383233533</v>
      </c>
      <c r="R48" s="41">
        <f t="shared" ref="R48:R49" si="40">((100-Q48)/100)*0.02*10</f>
        <v>0.15808383233532936</v>
      </c>
      <c r="S48" s="41"/>
      <c r="T48" s="41">
        <f t="shared" ref="T48:T49" si="41">R48/$S$43</f>
        <v>0.90233691908218949</v>
      </c>
      <c r="U48" s="41"/>
      <c r="V48" s="41"/>
      <c r="W48" s="9"/>
      <c r="X48" s="9"/>
      <c r="Y48">
        <v>0</v>
      </c>
      <c r="Z48">
        <v>0</v>
      </c>
      <c r="AA48">
        <v>0</v>
      </c>
    </row>
    <row r="49" spans="14:27" x14ac:dyDescent="0.3">
      <c r="N49">
        <v>3</v>
      </c>
      <c r="O49" s="8">
        <v>16.7</v>
      </c>
      <c r="P49" s="8">
        <v>14.9</v>
      </c>
      <c r="Q49" s="9">
        <f t="shared" si="37"/>
        <v>10.778443113772449</v>
      </c>
      <c r="R49" s="41">
        <f t="shared" si="40"/>
        <v>0.17844311377245511</v>
      </c>
      <c r="S49" s="41"/>
      <c r="T49" s="41">
        <f t="shared" si="41"/>
        <v>1.0185469768427746</v>
      </c>
      <c r="U49" s="41"/>
      <c r="V49" s="41"/>
      <c r="W49" s="9"/>
      <c r="X49" s="9"/>
      <c r="Y49">
        <v>0</v>
      </c>
      <c r="Z49">
        <v>0</v>
      </c>
      <c r="AA49">
        <v>0</v>
      </c>
    </row>
    <row r="50" spans="14:27" x14ac:dyDescent="0.3">
      <c r="N50" s="10" t="s">
        <v>20</v>
      </c>
      <c r="O50" s="10"/>
      <c r="P50" s="10"/>
      <c r="Q50" s="11" t="e">
        <f t="shared" si="37"/>
        <v>#DIV/0!</v>
      </c>
      <c r="R50" s="11"/>
      <c r="S50" s="11"/>
      <c r="T50" s="11"/>
      <c r="U50" s="11"/>
      <c r="V50" s="11"/>
      <c r="W50" s="10"/>
      <c r="X50" s="10"/>
    </row>
    <row r="51" spans="14:27" x14ac:dyDescent="0.3">
      <c r="N51">
        <v>1</v>
      </c>
      <c r="O51" s="10">
        <v>17.600000000000001</v>
      </c>
      <c r="P51" s="10">
        <v>12.8</v>
      </c>
      <c r="Q51" s="11">
        <f t="shared" si="37"/>
        <v>27.272727272727273</v>
      </c>
      <c r="R51" s="40">
        <f>((100-Q51)/100)*0.02*10</f>
        <v>0.14545454545454545</v>
      </c>
      <c r="S51" s="40">
        <f>AVERAGE(R51:R53)</f>
        <v>0.13825757575757577</v>
      </c>
      <c r="T51" s="40">
        <f>R51/$S$47</f>
        <v>0.8553137003841228</v>
      </c>
      <c r="U51" s="40">
        <f>AVERAGE(T51:T53)</f>
        <v>0.81299349125053333</v>
      </c>
      <c r="V51" s="40">
        <f>_xlfn.STDEV.P(T51:T53)</f>
        <v>3.2886863143659052E-2</v>
      </c>
      <c r="W51" s="11">
        <f>AVERAGE(Q51:Q52)</f>
        <v>29.26136363636364</v>
      </c>
      <c r="X51" s="11">
        <f>_xlfn.STDEV.P(Q51:Q53)</f>
        <v>2.7963680038320873</v>
      </c>
      <c r="Y51" s="18">
        <f>Q51-$Q$47</f>
        <v>14.099074578116499</v>
      </c>
    </row>
    <row r="52" spans="14:27" x14ac:dyDescent="0.3">
      <c r="N52">
        <v>2</v>
      </c>
      <c r="O52" s="10">
        <v>17.600000000000001</v>
      </c>
      <c r="P52" s="10">
        <v>12.1</v>
      </c>
      <c r="Q52" s="11">
        <f t="shared" si="37"/>
        <v>31.250000000000011</v>
      </c>
      <c r="R52" s="40">
        <f t="shared" ref="R52:R53" si="42">((100-Q52)/100)*0.02*10</f>
        <v>0.13749999999999998</v>
      </c>
      <c r="S52" s="40"/>
      <c r="T52" s="40">
        <f t="shared" ref="T52:T53" si="43">R52/$S$47</f>
        <v>0.80853873239436602</v>
      </c>
      <c r="U52" s="40"/>
      <c r="V52" s="40"/>
      <c r="W52" s="11"/>
      <c r="X52" s="11"/>
      <c r="Y52" s="18">
        <f>Q52-$Q$48</f>
        <v>10.291916167664681</v>
      </c>
      <c r="Z52" s="18">
        <f>AVERAGE(Y51:Y53)</f>
        <v>15.901152240972612</v>
      </c>
      <c r="AA52">
        <f>_xlfn.STDEV.P(Y51:Y53)</f>
        <v>5.4662169893787214</v>
      </c>
    </row>
    <row r="53" spans="14:27" x14ac:dyDescent="0.3">
      <c r="N53">
        <v>3</v>
      </c>
      <c r="O53" s="10">
        <v>17.600000000000001</v>
      </c>
      <c r="P53" s="10">
        <v>11.6</v>
      </c>
      <c r="Q53" s="11">
        <f t="shared" si="37"/>
        <v>34.090909090909101</v>
      </c>
      <c r="R53" s="40">
        <f t="shared" si="42"/>
        <v>0.13181818181818181</v>
      </c>
      <c r="S53" s="40"/>
      <c r="T53" s="40">
        <f t="shared" si="43"/>
        <v>0.77512804097311117</v>
      </c>
      <c r="U53" s="40"/>
      <c r="V53" s="40"/>
      <c r="W53" s="11"/>
      <c r="X53" s="11"/>
      <c r="Y53" s="18">
        <f>Q53-$Q$49</f>
        <v>23.312465977136654</v>
      </c>
    </row>
    <row r="54" spans="14:27" x14ac:dyDescent="0.3">
      <c r="N54" s="12" t="s">
        <v>21</v>
      </c>
      <c r="O54" s="12"/>
      <c r="P54" s="12"/>
      <c r="Q54" s="13" t="e">
        <f t="shared" si="37"/>
        <v>#DIV/0!</v>
      </c>
      <c r="R54" s="13"/>
      <c r="S54" s="13"/>
      <c r="T54" s="13"/>
      <c r="U54" s="13"/>
      <c r="V54" s="13"/>
      <c r="W54" s="12"/>
      <c r="X54" s="12"/>
    </row>
    <row r="55" spans="14:27" x14ac:dyDescent="0.3">
      <c r="N55">
        <v>1</v>
      </c>
      <c r="O55" s="12">
        <v>18.100000000000001</v>
      </c>
      <c r="P55" s="12">
        <v>6.3</v>
      </c>
      <c r="Q55" s="13">
        <f t="shared" si="37"/>
        <v>65.193370165745847</v>
      </c>
      <c r="R55" s="39">
        <f>((100-Q55)/100)*0.02*10</f>
        <v>6.9613259668508315E-2</v>
      </c>
      <c r="S55" s="39">
        <f>AVERAGE(R55:R57)</f>
        <v>7.8084714548802961E-2</v>
      </c>
      <c r="T55" s="39">
        <f>R55/$S$47</f>
        <v>0.40934557621974954</v>
      </c>
      <c r="U55" s="39">
        <f>AVERAGE(T55:T57)</f>
        <v>0.45916011724120037</v>
      </c>
      <c r="V55" s="39">
        <f>_xlfn.STDEV.P(T55:T57)</f>
        <v>3.5323938135295704E-2</v>
      </c>
      <c r="W55" s="13">
        <f>AVERAGE(Q55:Q56)</f>
        <v>62.154696132596683</v>
      </c>
      <c r="X55" s="13">
        <f>_xlfn.STDEV.P(Q55:Q56)</f>
        <v>3.0386740331491673</v>
      </c>
      <c r="Y55" s="18">
        <f>Q55-$Q$47</f>
        <v>52.019717471135074</v>
      </c>
    </row>
    <row r="56" spans="14:27" x14ac:dyDescent="0.3">
      <c r="N56">
        <v>2</v>
      </c>
      <c r="O56" s="12">
        <v>18.100000000000001</v>
      </c>
      <c r="P56" s="12">
        <v>7.4</v>
      </c>
      <c r="Q56" s="13">
        <f t="shared" si="37"/>
        <v>59.116022099447513</v>
      </c>
      <c r="R56" s="39">
        <f t="shared" ref="R56:R57" si="44">((100-Q56)/100)*0.02*10</f>
        <v>8.1767955801104991E-2</v>
      </c>
      <c r="S56" s="39"/>
      <c r="T56" s="39">
        <f t="shared" ref="T56:T57" si="45">R56/$S$47</f>
        <v>0.48081861333748349</v>
      </c>
      <c r="U56" s="39"/>
      <c r="V56" s="39"/>
      <c r="W56" s="13"/>
      <c r="X56" s="13"/>
      <c r="Y56" s="18">
        <f>Q56-$Q$48</f>
        <v>38.157938267112186</v>
      </c>
      <c r="Z56" s="18">
        <f>AVERAGE(Y55:Y57)</f>
        <v>45.987582845359015</v>
      </c>
      <c r="AA56">
        <f>_xlfn.STDEV.P(Y55:Y57)</f>
        <v>5.8000294365456035</v>
      </c>
    </row>
    <row r="57" spans="14:27" x14ac:dyDescent="0.3">
      <c r="N57">
        <v>3</v>
      </c>
      <c r="O57" s="12">
        <v>18.100000000000001</v>
      </c>
      <c r="P57" s="12">
        <v>7.5</v>
      </c>
      <c r="Q57" s="13">
        <f t="shared" si="37"/>
        <v>58.563535911602216</v>
      </c>
      <c r="R57" s="39">
        <f t="shared" si="44"/>
        <v>8.2872928176795577E-2</v>
      </c>
      <c r="S57" s="39"/>
      <c r="T57" s="39">
        <f t="shared" si="45"/>
        <v>0.48731616216636831</v>
      </c>
      <c r="U57" s="39"/>
      <c r="V57" s="39"/>
      <c r="W57" s="13"/>
      <c r="X57" s="13"/>
      <c r="Y57" s="18">
        <f>Q57-$Q$49</f>
        <v>47.785092797829769</v>
      </c>
    </row>
    <row r="58" spans="14:27" x14ac:dyDescent="0.3">
      <c r="N58" s="14" t="s">
        <v>22</v>
      </c>
      <c r="O58" s="14"/>
      <c r="P58" s="14"/>
      <c r="Q58" s="15" t="e">
        <f t="shared" si="37"/>
        <v>#DIV/0!</v>
      </c>
      <c r="R58" s="15"/>
      <c r="S58" s="15"/>
      <c r="T58" s="15"/>
      <c r="U58" s="15"/>
      <c r="V58" s="15"/>
      <c r="W58" s="14"/>
      <c r="X58" s="14"/>
    </row>
    <row r="59" spans="14:27" x14ac:dyDescent="0.3">
      <c r="N59">
        <v>1</v>
      </c>
      <c r="O59" s="14">
        <v>18.5</v>
      </c>
      <c r="P59" s="14">
        <v>6.2</v>
      </c>
      <c r="Q59" s="15">
        <f t="shared" si="37"/>
        <v>66.486486486486484</v>
      </c>
      <c r="R59" s="38">
        <f>((100-Q59)/100)*0.02*10</f>
        <v>6.7027027027027036E-2</v>
      </c>
      <c r="S59" s="38">
        <f>AVERAGE(R59:R61)</f>
        <v>7.5315315315315323E-2</v>
      </c>
      <c r="T59" s="38">
        <f>R59/$S$47</f>
        <v>0.39413779977160257</v>
      </c>
      <c r="U59" s="38">
        <f>AVERAGE(T59:T61)</f>
        <v>0.44287526963583296</v>
      </c>
      <c r="V59" s="38">
        <f>_xlfn.STDEV.P(T59:T61)</f>
        <v>3.5331131126621257E-2</v>
      </c>
      <c r="W59" s="15">
        <f>AVERAGE(Q59:Q60)</f>
        <v>63.783783783783782</v>
      </c>
      <c r="X59" s="15">
        <f>_xlfn.STDEV.P(Q59:Q60)</f>
        <v>2.7027027027027017</v>
      </c>
      <c r="Y59" s="18">
        <f>Q59-$Q$47</f>
        <v>53.312833791875711</v>
      </c>
    </row>
    <row r="60" spans="14:27" x14ac:dyDescent="0.3">
      <c r="N60">
        <v>2</v>
      </c>
      <c r="O60" s="14">
        <v>18.5</v>
      </c>
      <c r="P60" s="14">
        <v>7.2</v>
      </c>
      <c r="Q60" s="15">
        <f t="shared" si="37"/>
        <v>61.081081081081081</v>
      </c>
      <c r="R60" s="38">
        <f t="shared" ref="R60:R61" si="46">((100-Q60)/100)*0.02*10</f>
        <v>7.7837837837837848E-2</v>
      </c>
      <c r="S60" s="38"/>
      <c r="T60" s="38">
        <f t="shared" ref="T60:T61" si="47">R60/$S$47</f>
        <v>0.45770841263799011</v>
      </c>
      <c r="U60" s="38"/>
      <c r="V60" s="38"/>
      <c r="W60" s="15"/>
      <c r="X60" s="15"/>
      <c r="Y60" s="18">
        <f>Q60-$Q$48</f>
        <v>40.122997248745747</v>
      </c>
      <c r="Z60" s="18">
        <f>AVERAGE(Y59:Y61)</f>
        <v>47.372282462102817</v>
      </c>
      <c r="AA60">
        <f>_xlfn.STDEV.P(Y59:Y61)</f>
        <v>5.4636700298214578</v>
      </c>
    </row>
    <row r="61" spans="14:27" x14ac:dyDescent="0.3">
      <c r="N61">
        <v>3</v>
      </c>
      <c r="O61" s="14">
        <v>18.5</v>
      </c>
      <c r="P61" s="14">
        <v>7.5</v>
      </c>
      <c r="Q61" s="15">
        <f t="shared" si="37"/>
        <v>59.45945945945946</v>
      </c>
      <c r="R61" s="38">
        <f t="shared" si="46"/>
        <v>8.1081081081081086E-2</v>
      </c>
      <c r="S61" s="38"/>
      <c r="T61" s="38">
        <f t="shared" si="47"/>
        <v>0.4767795964979063</v>
      </c>
      <c r="U61" s="38"/>
      <c r="V61" s="38"/>
      <c r="W61" s="15"/>
      <c r="X61" s="15"/>
      <c r="Y61" s="18">
        <f>Q61-$Q$49</f>
        <v>48.681016345687013</v>
      </c>
    </row>
  </sheetData>
  <mergeCells count="7">
    <mergeCell ref="N36:X36"/>
    <mergeCell ref="Z2:AB2"/>
    <mergeCell ref="AC2:AE2"/>
    <mergeCell ref="Z1:AE1"/>
    <mergeCell ref="AG1:AL1"/>
    <mergeCell ref="AG2:AI2"/>
    <mergeCell ref="AJ2:AL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47F-346E-41EF-99C1-E0985C6A6039}">
  <dimension ref="A1:AC29"/>
  <sheetViews>
    <sheetView workbookViewId="0">
      <selection activeCell="K44" sqref="K44"/>
    </sheetView>
  </sheetViews>
  <sheetFormatPr defaultRowHeight="14.4" x14ac:dyDescent="0.3"/>
  <cols>
    <col min="5" max="5" width="12.6640625" customWidth="1"/>
    <col min="6" max="6" width="12.109375" bestFit="1" customWidth="1"/>
    <col min="7" max="7" width="12.44140625" customWidth="1"/>
    <col min="11" max="11" width="11.5546875" customWidth="1"/>
    <col min="12" max="12" width="9.6640625" customWidth="1"/>
    <col min="15" max="15" width="10.5546875" bestFit="1" customWidth="1"/>
    <col min="16" max="16" width="9.6640625" bestFit="1" customWidth="1"/>
    <col min="17" max="17" width="11.6640625" bestFit="1" customWidth="1"/>
  </cols>
  <sheetData>
    <row r="1" spans="1:29" ht="43.2" x14ac:dyDescent="0.3">
      <c r="A1" s="20" t="s">
        <v>0</v>
      </c>
      <c r="B1" s="20" t="s">
        <v>1</v>
      </c>
      <c r="C1" s="1" t="s">
        <v>2</v>
      </c>
      <c r="D1" s="20" t="s">
        <v>3</v>
      </c>
      <c r="E1" s="1" t="s">
        <v>4</v>
      </c>
      <c r="F1" s="2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23</v>
      </c>
      <c r="L1" s="1" t="s">
        <v>24</v>
      </c>
      <c r="M1" s="1" t="s">
        <v>9</v>
      </c>
      <c r="N1" s="20" t="s">
        <v>0</v>
      </c>
      <c r="O1" s="20" t="s">
        <v>41</v>
      </c>
      <c r="P1" s="20" t="s">
        <v>42</v>
      </c>
      <c r="Q1" s="20" t="s">
        <v>27</v>
      </c>
      <c r="R1" s="20" t="s">
        <v>28</v>
      </c>
      <c r="S1" s="20" t="s">
        <v>9</v>
      </c>
      <c r="U1" s="50" t="s">
        <v>27</v>
      </c>
      <c r="V1" s="50"/>
      <c r="W1" s="50"/>
      <c r="X1" s="50"/>
      <c r="Y1" s="50"/>
      <c r="Z1" s="50"/>
      <c r="AA1" s="21"/>
      <c r="AB1" s="21"/>
      <c r="AC1" s="21"/>
    </row>
    <row r="2" spans="1:29" x14ac:dyDescent="0.3">
      <c r="A2" s="2" t="s">
        <v>10</v>
      </c>
      <c r="B2" s="2"/>
      <c r="C2" s="2"/>
      <c r="D2" s="2"/>
      <c r="E2" s="2"/>
      <c r="F2" s="2"/>
      <c r="G2" s="2"/>
      <c r="H2" s="2"/>
      <c r="I2" s="2"/>
      <c r="J2" s="2"/>
      <c r="U2" s="50" t="s">
        <v>45</v>
      </c>
      <c r="V2" s="50"/>
      <c r="W2" s="50"/>
      <c r="X2" s="50"/>
      <c r="Y2" s="50"/>
      <c r="Z2" s="50"/>
    </row>
    <row r="3" spans="1:29" x14ac:dyDescent="0.3">
      <c r="A3" s="2">
        <v>1</v>
      </c>
      <c r="B3" s="2">
        <v>6.69</v>
      </c>
      <c r="C3" s="2">
        <v>18.87</v>
      </c>
      <c r="D3" s="2">
        <f>(C3-B3)/1000</f>
        <v>1.218E-2</v>
      </c>
      <c r="E3" s="2">
        <f>20/(100^2)</f>
        <v>2E-3</v>
      </c>
      <c r="F3" s="2">
        <v>6.8949999999999996</v>
      </c>
      <c r="G3" s="2">
        <v>3</v>
      </c>
      <c r="H3" s="3">
        <f>(D3/(E3*(G3/60)))</f>
        <v>121.8</v>
      </c>
      <c r="I3" s="3">
        <f>AVERAGE(H3:H5)</f>
        <v>116.36666666666667</v>
      </c>
      <c r="J3" s="2">
        <f>_xlfn.STDEV.P(H3:H5)</f>
        <v>9.1346714348257798</v>
      </c>
      <c r="K3">
        <f>H3/F3</f>
        <v>17.664974619289342</v>
      </c>
      <c r="L3" s="3">
        <f>AVERAGE(K3:K5)</f>
        <v>16.87696398356297</v>
      </c>
      <c r="M3" s="2">
        <f>_xlfn.STDEV.P(K3:K5)</f>
        <v>1.3248254437745881</v>
      </c>
      <c r="U3" t="s">
        <v>39</v>
      </c>
      <c r="V3" t="s">
        <v>40</v>
      </c>
      <c r="W3" t="s">
        <v>9</v>
      </c>
    </row>
    <row r="4" spans="1:29" x14ac:dyDescent="0.3">
      <c r="A4" s="2">
        <v>2</v>
      </c>
      <c r="B4" s="2">
        <v>6.66</v>
      </c>
      <c r="C4" s="2">
        <v>17.010000000000002</v>
      </c>
      <c r="D4" s="2">
        <f t="shared" ref="D4" si="0">(C4-B4)/1000</f>
        <v>1.0350000000000002E-2</v>
      </c>
      <c r="E4" s="2">
        <f t="shared" ref="E4:E9" si="1">20/(100^2)</f>
        <v>2E-3</v>
      </c>
      <c r="F4" s="2">
        <v>6.8949999999999996</v>
      </c>
      <c r="G4" s="2">
        <v>3</v>
      </c>
      <c r="H4" s="3">
        <f t="shared" ref="H4:H5" si="2">(D4/(E4*(G4/60)))</f>
        <v>103.50000000000001</v>
      </c>
      <c r="I4" s="3"/>
      <c r="J4" s="3"/>
      <c r="K4">
        <f t="shared" ref="K4:K5" si="3">H4/F4</f>
        <v>15.010877447425674</v>
      </c>
      <c r="L4" s="3"/>
      <c r="M4" s="3"/>
      <c r="U4">
        <v>3.48</v>
      </c>
      <c r="V4" s="18">
        <f>R7</f>
        <v>10.75117370892019</v>
      </c>
      <c r="W4" s="18">
        <f>S7</f>
        <v>4.6948356807510194E-2</v>
      </c>
      <c r="Y4" s="18"/>
      <c r="Z4" s="18"/>
    </row>
    <row r="5" spans="1:29" x14ac:dyDescent="0.3">
      <c r="A5" s="2">
        <v>3</v>
      </c>
      <c r="B5" s="2">
        <v>6.67</v>
      </c>
      <c r="C5" s="2">
        <v>19.05</v>
      </c>
      <c r="D5" s="2">
        <f>(C5-B5)/1000</f>
        <v>1.238E-2</v>
      </c>
      <c r="E5" s="2">
        <f t="shared" si="1"/>
        <v>2E-3</v>
      </c>
      <c r="F5" s="2">
        <v>6.8949999999999996</v>
      </c>
      <c r="G5" s="2">
        <v>3</v>
      </c>
      <c r="H5" s="3">
        <f t="shared" si="2"/>
        <v>123.8</v>
      </c>
      <c r="I5" s="3"/>
      <c r="J5" s="2"/>
      <c r="K5">
        <f t="shared" si="3"/>
        <v>17.955039883973896</v>
      </c>
      <c r="L5" s="3"/>
      <c r="M5" s="2"/>
      <c r="U5">
        <v>4.8099999999999996</v>
      </c>
      <c r="V5" s="18">
        <f>R11</f>
        <v>6.5975494816211064</v>
      </c>
      <c r="W5" s="18">
        <f>S11</f>
        <v>0.659754948162107</v>
      </c>
      <c r="Y5" s="18"/>
      <c r="Z5" s="18"/>
    </row>
    <row r="6" spans="1:29" x14ac:dyDescent="0.3">
      <c r="A6" t="s">
        <v>17</v>
      </c>
      <c r="N6" s="4" t="s">
        <v>17</v>
      </c>
      <c r="O6" s="4"/>
      <c r="P6" s="4"/>
      <c r="Q6" s="4"/>
      <c r="R6" s="4"/>
      <c r="S6" s="4"/>
      <c r="U6">
        <v>6.42</v>
      </c>
      <c r="V6" s="18">
        <f>R15</f>
        <v>22.861216730038027</v>
      </c>
      <c r="W6" s="18">
        <f>S15</f>
        <v>0.52281368821293128</v>
      </c>
      <c r="Y6" s="18"/>
      <c r="Z6" s="18"/>
    </row>
    <row r="7" spans="1:29" x14ac:dyDescent="0.3">
      <c r="A7">
        <v>1</v>
      </c>
      <c r="B7" s="2">
        <v>6.68</v>
      </c>
      <c r="C7" s="2">
        <v>12.31</v>
      </c>
      <c r="D7" s="2">
        <f>(C7-B7)/1000</f>
        <v>5.6300000000000005E-3</v>
      </c>
      <c r="E7" s="2">
        <f>20/(100^2)</f>
        <v>2E-3</v>
      </c>
      <c r="F7" s="2">
        <v>5.2</v>
      </c>
      <c r="G7" s="2">
        <v>3</v>
      </c>
      <c r="H7" s="3">
        <f>(D7/(E7*(G7/60)))</f>
        <v>56.300000000000004</v>
      </c>
      <c r="I7" s="3">
        <f>AVERAGE(H7:H9)</f>
        <v>62.333333333333336</v>
      </c>
      <c r="J7" s="2">
        <f>_xlfn.STDEV.P(H7:H9)</f>
        <v>4.3222936298014494</v>
      </c>
      <c r="K7">
        <f>H7/F7</f>
        <v>10.826923076923077</v>
      </c>
      <c r="L7" s="3">
        <f>AVERAGE(K7:K9)</f>
        <v>11.987179487179487</v>
      </c>
      <c r="M7" s="2">
        <f>_xlfn.STDEV.P(K7:K9)</f>
        <v>0.83121031342335649</v>
      </c>
      <c r="N7">
        <v>1</v>
      </c>
      <c r="O7" s="4">
        <v>106.5</v>
      </c>
      <c r="P7" s="4">
        <v>95.1</v>
      </c>
      <c r="Q7" s="5">
        <f t="shared" ref="Q7:Q29" si="4">(O7-P7)*100/O7</f>
        <v>10.70422535211268</v>
      </c>
      <c r="R7" s="5">
        <f>AVERAGE(Q7:Q8)</f>
        <v>10.75117370892019</v>
      </c>
      <c r="S7" s="5">
        <f>_xlfn.STDEV.P(Q7:Q8)</f>
        <v>4.6948356807510194E-2</v>
      </c>
      <c r="U7">
        <v>8.85</v>
      </c>
      <c r="V7" s="18">
        <f>R19</f>
        <v>29.030754892823857</v>
      </c>
      <c r="W7" s="18">
        <f>S19</f>
        <v>0.13979496738117092</v>
      </c>
      <c r="Y7" s="18"/>
      <c r="Z7" s="18"/>
    </row>
    <row r="8" spans="1:29" x14ac:dyDescent="0.3">
      <c r="A8">
        <v>2</v>
      </c>
      <c r="B8" s="2">
        <v>6.66</v>
      </c>
      <c r="C8" s="2">
        <v>13.11</v>
      </c>
      <c r="D8" s="2">
        <f t="shared" ref="D8" si="5">(C8-B8)/1000</f>
        <v>6.4499999999999991E-3</v>
      </c>
      <c r="E8" s="2">
        <f t="shared" si="1"/>
        <v>2E-3</v>
      </c>
      <c r="F8" s="2">
        <v>5.2</v>
      </c>
      <c r="G8" s="2">
        <v>3</v>
      </c>
      <c r="H8" s="3">
        <f t="shared" ref="H8:H9" si="6">(D8/(E8*(G8/60)))</f>
        <v>64.499999999999986</v>
      </c>
      <c r="I8" s="3"/>
      <c r="J8" s="3"/>
      <c r="K8">
        <f>H8/F8</f>
        <v>12.403846153846152</v>
      </c>
      <c r="L8" s="3"/>
      <c r="M8" s="3"/>
      <c r="N8">
        <v>2</v>
      </c>
      <c r="O8" s="4">
        <v>106.5</v>
      </c>
      <c r="P8" s="4">
        <v>95</v>
      </c>
      <c r="Q8" s="5">
        <f t="shared" si="4"/>
        <v>10.7981220657277</v>
      </c>
      <c r="R8" s="5"/>
      <c r="S8" s="5"/>
      <c r="U8">
        <v>9.94</v>
      </c>
      <c r="V8" s="18">
        <f>R23</f>
        <v>40.526802218114604</v>
      </c>
      <c r="W8" s="18">
        <f>S23</f>
        <v>1.6173752310536003</v>
      </c>
      <c r="Y8" s="18"/>
      <c r="Z8" s="18"/>
    </row>
    <row r="9" spans="1:29" x14ac:dyDescent="0.3">
      <c r="A9">
        <v>3</v>
      </c>
      <c r="B9" s="2">
        <v>6.69</v>
      </c>
      <c r="C9" s="2">
        <v>13.31</v>
      </c>
      <c r="D9" s="2">
        <f>(C9-B9)/1000</f>
        <v>6.62E-3</v>
      </c>
      <c r="E9" s="2">
        <f t="shared" si="1"/>
        <v>2E-3</v>
      </c>
      <c r="F9" s="2">
        <v>5.2</v>
      </c>
      <c r="G9" s="2">
        <v>3</v>
      </c>
      <c r="H9" s="3">
        <f t="shared" si="6"/>
        <v>66.2</v>
      </c>
      <c r="I9" s="3"/>
      <c r="J9" s="2"/>
      <c r="K9">
        <f>H9/F9</f>
        <v>12.730769230769232</v>
      </c>
      <c r="L9" s="3"/>
      <c r="M9" s="2"/>
      <c r="N9">
        <v>3</v>
      </c>
      <c r="O9" s="4">
        <v>106.5</v>
      </c>
      <c r="P9" s="4">
        <v>94.1</v>
      </c>
      <c r="Q9" s="5">
        <f t="shared" si="4"/>
        <v>11.643192488262915</v>
      </c>
      <c r="R9" s="5"/>
      <c r="S9" s="5"/>
      <c r="U9">
        <v>10.53</v>
      </c>
      <c r="V9" s="18">
        <f>R27</f>
        <v>42.12204007285974</v>
      </c>
      <c r="W9" s="18">
        <f>S27</f>
        <v>1.5027322404371617</v>
      </c>
      <c r="Y9" s="18"/>
      <c r="Z9" s="18"/>
    </row>
    <row r="10" spans="1:29" x14ac:dyDescent="0.3">
      <c r="A10" t="s">
        <v>19</v>
      </c>
      <c r="N10" s="6" t="s">
        <v>19</v>
      </c>
      <c r="O10" s="6"/>
      <c r="P10" s="6"/>
      <c r="Q10" s="7" t="e">
        <f t="shared" si="4"/>
        <v>#DIV/0!</v>
      </c>
      <c r="R10" s="6"/>
      <c r="S10" s="6"/>
    </row>
    <row r="11" spans="1:29" x14ac:dyDescent="0.3">
      <c r="A11">
        <v>1</v>
      </c>
      <c r="B11" s="2">
        <v>6.68</v>
      </c>
      <c r="C11" s="2">
        <v>12.98</v>
      </c>
      <c r="D11" s="2">
        <f>(C11-B11)/1000</f>
        <v>6.3000000000000009E-3</v>
      </c>
      <c r="E11" s="2">
        <f>20/(100^2)</f>
        <v>2E-3</v>
      </c>
      <c r="F11" s="2">
        <v>5.2</v>
      </c>
      <c r="G11" s="2">
        <v>3</v>
      </c>
      <c r="H11" s="3">
        <f>(D11/(E11*(G11/60)))</f>
        <v>63.000000000000007</v>
      </c>
      <c r="I11" s="3">
        <f>AVERAGE(H11:H13)</f>
        <v>69.533333333333346</v>
      </c>
      <c r="J11" s="2">
        <f>_xlfn.STDEV.P(H11:H13)</f>
        <v>4.6549853800939944</v>
      </c>
      <c r="K11">
        <f>H11/F11</f>
        <v>12.115384615384617</v>
      </c>
      <c r="L11" s="3">
        <f>AVERAGE(K11:K13)</f>
        <v>13.37179487179487</v>
      </c>
      <c r="M11" s="2">
        <f>_xlfn.STDEV.P(K11:K13)</f>
        <v>0.89518949617192201</v>
      </c>
      <c r="N11">
        <v>1</v>
      </c>
      <c r="O11" s="6">
        <v>106.1</v>
      </c>
      <c r="P11" s="6">
        <v>98.4</v>
      </c>
      <c r="Q11" s="7">
        <f t="shared" si="4"/>
        <v>7.257304429783213</v>
      </c>
      <c r="R11" s="7">
        <f>AVERAGE(Q11:Q12)</f>
        <v>6.5975494816211064</v>
      </c>
      <c r="S11" s="7">
        <f>_xlfn.STDEV.P(Q11:Q12)</f>
        <v>0.659754948162107</v>
      </c>
    </row>
    <row r="12" spans="1:29" x14ac:dyDescent="0.3">
      <c r="A12">
        <v>2</v>
      </c>
      <c r="B12" s="2">
        <v>6.68</v>
      </c>
      <c r="C12" s="2">
        <v>13.89</v>
      </c>
      <c r="D12" s="2">
        <f t="shared" ref="D12" si="7">(C12-B12)/1000</f>
        <v>7.2100000000000011E-3</v>
      </c>
      <c r="E12" s="2">
        <f t="shared" ref="E12:E13" si="8">20/(100^2)</f>
        <v>2E-3</v>
      </c>
      <c r="F12" s="2">
        <v>5.2</v>
      </c>
      <c r="G12" s="2">
        <v>3</v>
      </c>
      <c r="H12" s="3">
        <f t="shared" ref="H12:H13" si="9">(D12/(E12*(G12/60)))</f>
        <v>72.100000000000009</v>
      </c>
      <c r="I12" s="3"/>
      <c r="J12" s="3"/>
      <c r="K12">
        <f t="shared" ref="K12:K13" si="10">H12/F12</f>
        <v>13.865384615384617</v>
      </c>
      <c r="L12" s="3"/>
      <c r="M12" s="3"/>
      <c r="N12">
        <v>2</v>
      </c>
      <c r="O12" s="6">
        <v>106.1</v>
      </c>
      <c r="P12" s="6">
        <v>99.8</v>
      </c>
      <c r="Q12" s="7">
        <f t="shared" si="4"/>
        <v>5.937794533458999</v>
      </c>
      <c r="R12" s="7"/>
      <c r="S12" s="7"/>
    </row>
    <row r="13" spans="1:29" x14ac:dyDescent="0.3">
      <c r="A13">
        <v>3</v>
      </c>
      <c r="B13" s="2">
        <v>6.69</v>
      </c>
      <c r="C13" s="2">
        <v>14.04</v>
      </c>
      <c r="D13" s="2">
        <f>(C13-B13)/1000</f>
        <v>7.3499999999999989E-3</v>
      </c>
      <c r="E13" s="2">
        <f t="shared" si="8"/>
        <v>2E-3</v>
      </c>
      <c r="F13" s="2">
        <v>5.2</v>
      </c>
      <c r="G13" s="2">
        <v>3</v>
      </c>
      <c r="H13" s="3">
        <f t="shared" si="9"/>
        <v>73.499999999999986</v>
      </c>
      <c r="I13" s="3"/>
      <c r="J13" s="2"/>
      <c r="K13">
        <f t="shared" si="10"/>
        <v>14.134615384615381</v>
      </c>
      <c r="L13" s="3"/>
      <c r="M13" s="2"/>
      <c r="N13">
        <v>3</v>
      </c>
      <c r="O13" s="6">
        <v>106.1</v>
      </c>
      <c r="P13" s="6">
        <v>98.9</v>
      </c>
      <c r="Q13" s="7">
        <f t="shared" si="4"/>
        <v>6.7860508953817051</v>
      </c>
      <c r="R13" s="7"/>
      <c r="S13" s="7"/>
    </row>
    <row r="14" spans="1:29" x14ac:dyDescent="0.3">
      <c r="A14" t="s">
        <v>18</v>
      </c>
      <c r="N14" s="8" t="s">
        <v>18</v>
      </c>
      <c r="O14" s="8"/>
      <c r="P14" s="8"/>
      <c r="Q14" s="9" t="e">
        <f t="shared" si="4"/>
        <v>#DIV/0!</v>
      </c>
      <c r="R14" s="8"/>
      <c r="S14" s="8"/>
    </row>
    <row r="15" spans="1:29" x14ac:dyDescent="0.3">
      <c r="A15">
        <v>1</v>
      </c>
      <c r="B15" s="2">
        <v>6.67</v>
      </c>
      <c r="C15" s="2">
        <v>12.36</v>
      </c>
      <c r="D15" s="2">
        <f>(C15-B15)/1000</f>
        <v>5.6899999999999997E-3</v>
      </c>
      <c r="E15" s="2">
        <f>20/(100^2)</f>
        <v>2E-3</v>
      </c>
      <c r="F15" s="2">
        <v>5.2</v>
      </c>
      <c r="G15" s="2">
        <v>3</v>
      </c>
      <c r="H15" s="3">
        <f>(D15/(E15*(G15/60)))</f>
        <v>56.899999999999991</v>
      </c>
      <c r="I15" s="3">
        <f>AVERAGE(H15:H17)</f>
        <v>62.9</v>
      </c>
      <c r="J15" s="2">
        <f>_xlfn.STDEV.P(H15:H17)</f>
        <v>4.270831300812528</v>
      </c>
      <c r="K15">
        <f>H15/F15</f>
        <v>10.94230769230769</v>
      </c>
      <c r="L15" s="3">
        <f>AVERAGE(K15:K17)</f>
        <v>12.096153846153845</v>
      </c>
      <c r="M15" s="2">
        <f>_xlfn.STDEV.P(K15:K17)</f>
        <v>0.82131371169471723</v>
      </c>
      <c r="N15">
        <v>1</v>
      </c>
      <c r="O15" s="8">
        <v>105.2</v>
      </c>
      <c r="P15" s="8">
        <v>80.599999999999994</v>
      </c>
      <c r="Q15" s="9">
        <f t="shared" si="4"/>
        <v>23.384030418250958</v>
      </c>
      <c r="R15" s="9">
        <f>AVERAGE(Q15:Q16)</f>
        <v>22.861216730038027</v>
      </c>
      <c r="S15" s="9">
        <f>_xlfn.STDEV.P(Q15:Q16)</f>
        <v>0.52281368821293128</v>
      </c>
    </row>
    <row r="16" spans="1:29" x14ac:dyDescent="0.3">
      <c r="A16">
        <v>2</v>
      </c>
      <c r="B16" s="2">
        <v>6.67</v>
      </c>
      <c r="C16" s="2">
        <v>13.2</v>
      </c>
      <c r="D16" s="2">
        <f t="shared" ref="D16" si="11">(C16-B16)/1000</f>
        <v>6.5299999999999993E-3</v>
      </c>
      <c r="E16" s="2">
        <f t="shared" ref="E16:E17" si="12">20/(100^2)</f>
        <v>2E-3</v>
      </c>
      <c r="F16" s="2">
        <v>5.2</v>
      </c>
      <c r="G16" s="2">
        <v>3</v>
      </c>
      <c r="H16" s="3">
        <f t="shared" ref="H16:H17" si="13">(D16/(E16*(G16/60)))</f>
        <v>65.3</v>
      </c>
      <c r="I16" s="3"/>
      <c r="J16" s="3"/>
      <c r="K16">
        <f t="shared" ref="K16:K17" si="14">H16/F16</f>
        <v>12.557692307692307</v>
      </c>
      <c r="L16" s="3"/>
      <c r="M16" s="3"/>
      <c r="N16">
        <v>2</v>
      </c>
      <c r="O16" s="8">
        <v>105.2</v>
      </c>
      <c r="P16" s="8">
        <v>81.7</v>
      </c>
      <c r="Q16" s="9">
        <f t="shared" si="4"/>
        <v>22.338403041825096</v>
      </c>
      <c r="R16" s="9"/>
      <c r="S16" s="9"/>
    </row>
    <row r="17" spans="1:19" x14ac:dyDescent="0.3">
      <c r="A17">
        <v>3</v>
      </c>
      <c r="B17" s="2">
        <v>6.67</v>
      </c>
      <c r="C17" s="2">
        <v>13.32</v>
      </c>
      <c r="D17" s="2">
        <f>(C17-B17)/1000</f>
        <v>6.6500000000000005E-3</v>
      </c>
      <c r="E17" s="2">
        <f t="shared" si="12"/>
        <v>2E-3</v>
      </c>
      <c r="F17" s="2">
        <v>5.2</v>
      </c>
      <c r="G17" s="2">
        <v>3</v>
      </c>
      <c r="H17" s="3">
        <f t="shared" si="13"/>
        <v>66.5</v>
      </c>
      <c r="I17" s="3"/>
      <c r="J17" s="2"/>
      <c r="K17">
        <f t="shared" si="14"/>
        <v>12.788461538461538</v>
      </c>
      <c r="L17" s="3"/>
      <c r="M17" s="2"/>
      <c r="N17">
        <v>3</v>
      </c>
      <c r="O17" s="8">
        <v>105.2</v>
      </c>
      <c r="P17" s="8">
        <v>81.900000000000006</v>
      </c>
      <c r="Q17" s="9">
        <f t="shared" si="4"/>
        <v>22.148288973384027</v>
      </c>
      <c r="R17" s="9"/>
      <c r="S17" s="9"/>
    </row>
    <row r="18" spans="1:19" x14ac:dyDescent="0.3">
      <c r="A18" t="s">
        <v>20</v>
      </c>
      <c r="N18" s="10" t="s">
        <v>20</v>
      </c>
      <c r="O18" s="10"/>
      <c r="P18" s="10"/>
      <c r="Q18" s="11" t="e">
        <f t="shared" si="4"/>
        <v>#DIV/0!</v>
      </c>
      <c r="R18" s="10"/>
      <c r="S18" s="10"/>
    </row>
    <row r="19" spans="1:19" x14ac:dyDescent="0.3">
      <c r="A19">
        <v>1</v>
      </c>
      <c r="B19" s="2">
        <v>6.66</v>
      </c>
      <c r="C19" s="2">
        <v>11.33</v>
      </c>
      <c r="D19" s="2">
        <f>(C19-B19)/1000</f>
        <v>4.6699999999999997E-3</v>
      </c>
      <c r="E19" s="2">
        <f>20/(100^2)</f>
        <v>2E-3</v>
      </c>
      <c r="F19" s="2">
        <v>5.2</v>
      </c>
      <c r="G19" s="2">
        <v>3</v>
      </c>
      <c r="H19" s="3">
        <f>(D19/(E19*(G19/60)))</f>
        <v>46.699999999999996</v>
      </c>
      <c r="I19" s="3">
        <f>AVERAGE(H19:H21)</f>
        <v>51.566666666666663</v>
      </c>
      <c r="J19" s="2">
        <f>_xlfn.STDEV.P(H19:H21)</f>
        <v>3.578019315518326</v>
      </c>
      <c r="K19">
        <f>H19/F19</f>
        <v>8.9807692307692299</v>
      </c>
      <c r="L19" s="3">
        <f>AVERAGE(K19:K21)</f>
        <v>9.9166666666666661</v>
      </c>
      <c r="M19" s="2">
        <f>_xlfn.STDEV.P(K19:K21)</f>
        <v>0.68808063759967819</v>
      </c>
      <c r="N19">
        <v>1</v>
      </c>
      <c r="O19" s="10">
        <v>107.3</v>
      </c>
      <c r="P19" s="10">
        <v>76</v>
      </c>
      <c r="Q19" s="11">
        <f t="shared" si="4"/>
        <v>29.170549860205028</v>
      </c>
      <c r="R19" s="11">
        <f>AVERAGE(Q19:Q20)</f>
        <v>29.030754892823857</v>
      </c>
      <c r="S19" s="11">
        <f>_xlfn.STDEV.P(Q19:Q20)</f>
        <v>0.13979496738117092</v>
      </c>
    </row>
    <row r="20" spans="1:19" x14ac:dyDescent="0.3">
      <c r="A20">
        <v>2</v>
      </c>
      <c r="B20" s="2">
        <v>6.68</v>
      </c>
      <c r="C20" s="2">
        <v>11.96</v>
      </c>
      <c r="D20" s="2">
        <f t="shared" ref="D20" si="15">(C20-B20)/1000</f>
        <v>5.2800000000000008E-3</v>
      </c>
      <c r="E20" s="2">
        <f t="shared" ref="E20:E21" si="16">20/(100^2)</f>
        <v>2E-3</v>
      </c>
      <c r="F20" s="2">
        <v>5.2</v>
      </c>
      <c r="G20" s="2">
        <v>3</v>
      </c>
      <c r="H20" s="3">
        <f t="shared" ref="H20:H21" si="17">(D20/(E20*(G20/60)))</f>
        <v>52.800000000000004</v>
      </c>
      <c r="I20" s="3"/>
      <c r="J20" s="3"/>
      <c r="K20">
        <f t="shared" ref="K20:K21" si="18">H20/F20</f>
        <v>10.153846153846155</v>
      </c>
      <c r="L20" s="3"/>
      <c r="M20" s="3"/>
      <c r="N20">
        <v>2</v>
      </c>
      <c r="O20" s="10">
        <v>107.3</v>
      </c>
      <c r="P20" s="10">
        <v>76.3</v>
      </c>
      <c r="Q20" s="11">
        <f t="shared" si="4"/>
        <v>28.890959925442687</v>
      </c>
      <c r="R20" s="11"/>
      <c r="S20" s="11"/>
    </row>
    <row r="21" spans="1:19" x14ac:dyDescent="0.3">
      <c r="A21">
        <v>3</v>
      </c>
      <c r="B21" s="2">
        <v>6.66</v>
      </c>
      <c r="C21" s="2">
        <v>12.18</v>
      </c>
      <c r="D21" s="2">
        <f>(C21-B21)/1000</f>
        <v>5.5199999999999997E-3</v>
      </c>
      <c r="E21" s="2">
        <f t="shared" si="16"/>
        <v>2E-3</v>
      </c>
      <c r="F21" s="2">
        <v>5.2</v>
      </c>
      <c r="G21" s="2">
        <v>3</v>
      </c>
      <c r="H21" s="3">
        <f t="shared" si="17"/>
        <v>55.199999999999996</v>
      </c>
      <c r="I21" s="3"/>
      <c r="J21" s="2"/>
      <c r="K21">
        <f t="shared" si="18"/>
        <v>10.615384615384615</v>
      </c>
      <c r="L21" s="3"/>
      <c r="M21" s="2"/>
      <c r="N21">
        <v>3</v>
      </c>
      <c r="O21" s="10">
        <v>107.3</v>
      </c>
      <c r="P21" s="10">
        <v>73.400000000000006</v>
      </c>
      <c r="Q21" s="11">
        <f t="shared" si="4"/>
        <v>31.593662628145378</v>
      </c>
      <c r="R21" s="11"/>
      <c r="S21" s="11"/>
    </row>
    <row r="22" spans="1:19" x14ac:dyDescent="0.3">
      <c r="A22" t="s">
        <v>21</v>
      </c>
      <c r="N22" s="12" t="s">
        <v>21</v>
      </c>
      <c r="O22" s="12"/>
      <c r="P22" s="12"/>
      <c r="Q22" s="13" t="e">
        <f t="shared" si="4"/>
        <v>#DIV/0!</v>
      </c>
      <c r="R22" s="12"/>
      <c r="S22" s="12"/>
    </row>
    <row r="23" spans="1:19" x14ac:dyDescent="0.3">
      <c r="A23">
        <v>1</v>
      </c>
      <c r="B23" s="2">
        <v>6.67</v>
      </c>
      <c r="C23" s="2">
        <v>12.85</v>
      </c>
      <c r="D23" s="2">
        <f>(C23-B23)/1000</f>
        <v>6.1799999999999997E-3</v>
      </c>
      <c r="E23" s="2">
        <f>20/(100^2)</f>
        <v>2E-3</v>
      </c>
      <c r="F23" s="2">
        <v>5.2</v>
      </c>
      <c r="G23" s="2">
        <v>3</v>
      </c>
      <c r="H23" s="3">
        <f>(D23/(E23*(G23/60)))</f>
        <v>61.8</v>
      </c>
      <c r="I23" s="3">
        <f>AVERAGE(H23:H25)</f>
        <v>67.033333333333331</v>
      </c>
      <c r="J23" s="2">
        <f>_xlfn.STDEV.P(H23:H25)</f>
        <v>3.7115435543120818</v>
      </c>
      <c r="K23">
        <f>H23/F23</f>
        <v>11.884615384615383</v>
      </c>
      <c r="L23" s="3">
        <f>AVERAGE(K23:K25)</f>
        <v>12.891025641025641</v>
      </c>
      <c r="M23" s="2">
        <f>_xlfn.STDEV.P(K23:K25)</f>
        <v>0.71375837582924706</v>
      </c>
      <c r="N23">
        <v>1</v>
      </c>
      <c r="O23" s="12">
        <v>108.2</v>
      </c>
      <c r="P23" s="12">
        <v>62.6</v>
      </c>
      <c r="Q23" s="13">
        <f t="shared" si="4"/>
        <v>42.144177449168204</v>
      </c>
      <c r="R23" s="13">
        <f>AVERAGE(Q23:Q24)</f>
        <v>40.526802218114604</v>
      </c>
      <c r="S23" s="13">
        <f>_xlfn.STDEV.P(Q23:Q24)</f>
        <v>1.6173752310536003</v>
      </c>
    </row>
    <row r="24" spans="1:19" x14ac:dyDescent="0.3">
      <c r="A24">
        <v>2</v>
      </c>
      <c r="B24" s="2">
        <v>6.66</v>
      </c>
      <c r="C24" s="2">
        <v>13.59</v>
      </c>
      <c r="D24" s="2">
        <f t="shared" ref="D24" si="19">(C24-B24)/1000</f>
        <v>6.9299999999999995E-3</v>
      </c>
      <c r="E24" s="2">
        <f t="shared" ref="E24:E25" si="20">20/(100^2)</f>
        <v>2E-3</v>
      </c>
      <c r="F24" s="2">
        <v>5.2</v>
      </c>
      <c r="G24" s="2">
        <v>3</v>
      </c>
      <c r="H24" s="3">
        <f t="shared" ref="H24:H25" si="21">(D24/(E24*(G24/60)))</f>
        <v>69.3</v>
      </c>
      <c r="I24" s="3"/>
      <c r="J24" s="3"/>
      <c r="K24">
        <f t="shared" ref="K24:K25" si="22">H24/F24</f>
        <v>13.326923076923077</v>
      </c>
      <c r="L24" s="3"/>
      <c r="M24" s="3"/>
      <c r="N24">
        <v>2</v>
      </c>
      <c r="O24" s="12">
        <v>108.2</v>
      </c>
      <c r="P24" s="12">
        <v>66.099999999999994</v>
      </c>
      <c r="Q24" s="13">
        <f t="shared" si="4"/>
        <v>38.909426987061003</v>
      </c>
      <c r="R24" s="13"/>
      <c r="S24" s="13"/>
    </row>
    <row r="25" spans="1:19" x14ac:dyDescent="0.3">
      <c r="A25">
        <v>3</v>
      </c>
      <c r="B25" s="2">
        <v>6.71</v>
      </c>
      <c r="C25" s="2">
        <v>13.71</v>
      </c>
      <c r="D25" s="2">
        <f>(C25-B25)/1000</f>
        <v>7.000000000000001E-3</v>
      </c>
      <c r="E25" s="2">
        <f t="shared" si="20"/>
        <v>2E-3</v>
      </c>
      <c r="F25" s="2">
        <v>5.2</v>
      </c>
      <c r="G25" s="2">
        <v>3</v>
      </c>
      <c r="H25" s="3">
        <f t="shared" si="21"/>
        <v>70</v>
      </c>
      <c r="I25" s="3"/>
      <c r="J25" s="2"/>
      <c r="K25">
        <f t="shared" si="22"/>
        <v>13.461538461538462</v>
      </c>
      <c r="L25" s="3"/>
      <c r="M25" s="2"/>
      <c r="N25">
        <v>3</v>
      </c>
      <c r="O25" s="12">
        <v>108.2</v>
      </c>
      <c r="P25" s="12">
        <v>64.8</v>
      </c>
      <c r="Q25" s="13">
        <f t="shared" si="4"/>
        <v>40.110905730129396</v>
      </c>
      <c r="R25" s="13"/>
      <c r="S25" s="13"/>
    </row>
    <row r="26" spans="1:19" x14ac:dyDescent="0.3">
      <c r="A26" t="s">
        <v>22</v>
      </c>
      <c r="N26" s="14" t="s">
        <v>22</v>
      </c>
      <c r="O26" s="14"/>
      <c r="P26" s="14"/>
      <c r="Q26" s="15" t="e">
        <f t="shared" si="4"/>
        <v>#DIV/0!</v>
      </c>
      <c r="R26" s="14"/>
      <c r="S26" s="14"/>
    </row>
    <row r="27" spans="1:19" x14ac:dyDescent="0.3">
      <c r="A27">
        <v>1</v>
      </c>
      <c r="B27" s="2">
        <v>6.73</v>
      </c>
      <c r="C27" s="2">
        <v>13.67</v>
      </c>
      <c r="D27" s="2">
        <f>(C27-B27)/1000</f>
        <v>6.9399999999999991E-3</v>
      </c>
      <c r="E27" s="2">
        <f>20/(100^2)</f>
        <v>2E-3</v>
      </c>
      <c r="F27" s="2">
        <v>5.2</v>
      </c>
      <c r="G27" s="2">
        <v>3</v>
      </c>
      <c r="H27" s="3">
        <f>(D27/(E27*(G27/60)))</f>
        <v>69.399999999999991</v>
      </c>
      <c r="I27" s="3">
        <f>AVERAGE(H27:H29)</f>
        <v>75.033333333333317</v>
      </c>
      <c r="J27" s="2">
        <f>_xlfn.STDEV.P(H27:H29)</f>
        <v>3.985250584621026</v>
      </c>
      <c r="K27">
        <f>H27/F27</f>
        <v>13.346153846153845</v>
      </c>
      <c r="L27" s="3">
        <f>AVERAGE(K27:K29)</f>
        <v>14.429487179487177</v>
      </c>
      <c r="M27" s="2">
        <f>_xlfn.STDEV.P(K27:K29)</f>
        <v>0.76639434319635047</v>
      </c>
      <c r="N27">
        <v>1</v>
      </c>
      <c r="O27" s="14">
        <v>109.8</v>
      </c>
      <c r="P27" s="14">
        <v>61.9</v>
      </c>
      <c r="Q27" s="15">
        <f t="shared" si="4"/>
        <v>43.624772313296901</v>
      </c>
      <c r="R27" s="15">
        <f>AVERAGE(Q27:Q28)</f>
        <v>42.12204007285974</v>
      </c>
      <c r="S27" s="15">
        <f>_xlfn.STDEV.P(Q27:Q28)</f>
        <v>1.5027322404371617</v>
      </c>
    </row>
    <row r="28" spans="1:19" x14ac:dyDescent="0.3">
      <c r="A28">
        <v>2</v>
      </c>
      <c r="B28" s="2">
        <v>6.71</v>
      </c>
      <c r="C28" s="2">
        <v>14.48</v>
      </c>
      <c r="D28" s="2">
        <f t="shared" ref="D28" si="23">(C28-B28)/1000</f>
        <v>7.7700000000000009E-3</v>
      </c>
      <c r="E28" s="2">
        <f t="shared" ref="E28:E29" si="24">20/(100^2)</f>
        <v>2E-3</v>
      </c>
      <c r="F28" s="2">
        <v>5.2</v>
      </c>
      <c r="G28" s="2">
        <v>3</v>
      </c>
      <c r="H28" s="3">
        <f t="shared" ref="H28:H29" si="25">(D28/(E28*(G28/60)))</f>
        <v>77.7</v>
      </c>
      <c r="I28" s="3"/>
      <c r="J28" s="3"/>
      <c r="K28">
        <f>H28/F28</f>
        <v>14.942307692307692</v>
      </c>
      <c r="L28" s="3"/>
      <c r="M28" s="3"/>
      <c r="N28">
        <v>2</v>
      </c>
      <c r="O28" s="14">
        <v>109.8</v>
      </c>
      <c r="P28" s="14">
        <v>65.2</v>
      </c>
      <c r="Q28" s="15">
        <f t="shared" si="4"/>
        <v>40.619307832422578</v>
      </c>
      <c r="R28" s="15"/>
      <c r="S28" s="15"/>
    </row>
    <row r="29" spans="1:19" x14ac:dyDescent="0.3">
      <c r="A29">
        <v>3</v>
      </c>
      <c r="B29" s="2">
        <v>6.71</v>
      </c>
      <c r="C29" s="2">
        <v>14.51</v>
      </c>
      <c r="D29" s="2">
        <f>(C29-B29)/1000</f>
        <v>7.7999999999999996E-3</v>
      </c>
      <c r="E29" s="2">
        <f t="shared" si="24"/>
        <v>2E-3</v>
      </c>
      <c r="F29" s="2">
        <v>5.2</v>
      </c>
      <c r="G29" s="2">
        <v>3</v>
      </c>
      <c r="H29" s="3">
        <f t="shared" si="25"/>
        <v>77.999999999999986</v>
      </c>
      <c r="I29" s="3"/>
      <c r="J29" s="2"/>
      <c r="K29">
        <f>H29/F29</f>
        <v>14.999999999999996</v>
      </c>
      <c r="L29" s="3"/>
      <c r="M29" s="2"/>
      <c r="N29">
        <v>3</v>
      </c>
      <c r="O29" s="14">
        <v>109.8</v>
      </c>
      <c r="P29" s="14">
        <v>63.4</v>
      </c>
      <c r="Q29" s="15">
        <f t="shared" si="4"/>
        <v>42.258652094717668</v>
      </c>
      <c r="R29" s="15"/>
      <c r="S29" s="15"/>
    </row>
  </sheetData>
  <mergeCells count="3">
    <mergeCell ref="U1:Z1"/>
    <mergeCell ref="U2:W2"/>
    <mergeCell ref="X2:Z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273B-0A12-46C8-A5F3-75583E8D2A54}">
  <dimension ref="A1:Q145"/>
  <sheetViews>
    <sheetView workbookViewId="0">
      <selection activeCell="G30" sqref="G30"/>
    </sheetView>
  </sheetViews>
  <sheetFormatPr defaultRowHeight="14.4" x14ac:dyDescent="0.3"/>
  <cols>
    <col min="1" max="1" width="11.33203125" customWidth="1"/>
    <col min="2" max="2" width="14" bestFit="1" customWidth="1"/>
    <col min="5" max="5" width="14.88671875" bestFit="1" customWidth="1"/>
  </cols>
  <sheetData>
    <row r="1" spans="1:17" x14ac:dyDescent="0.3">
      <c r="A1" s="50" t="s">
        <v>46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7" x14ac:dyDescent="0.3">
      <c r="A2" t="s">
        <v>17</v>
      </c>
    </row>
    <row r="3" spans="1:17" x14ac:dyDescent="0.3">
      <c r="A3">
        <v>1</v>
      </c>
      <c r="B3" s="2">
        <v>6.68</v>
      </c>
      <c r="C3" s="2">
        <v>13.31</v>
      </c>
      <c r="D3" s="2">
        <f>(C3-B3)/1000</f>
        <v>6.6300000000000005E-3</v>
      </c>
      <c r="E3" s="2">
        <f>20/(100^2)</f>
        <v>2E-3</v>
      </c>
      <c r="F3" s="2">
        <v>5.2</v>
      </c>
      <c r="G3" s="2">
        <v>3</v>
      </c>
      <c r="H3" s="3">
        <f>(D3/(E3*(G3/60)))</f>
        <v>66.3</v>
      </c>
      <c r="I3" s="3">
        <f>AVERAGE(H3:H5)</f>
        <v>72.333333333333329</v>
      </c>
      <c r="J3" s="2">
        <f>_xlfn.STDEV.P(H3:H5)</f>
        <v>4.3222936298014529</v>
      </c>
      <c r="K3">
        <f>H3/F3</f>
        <v>12.749999999999998</v>
      </c>
      <c r="L3" s="3">
        <f>AVERAGE(K3:K5)</f>
        <v>13.910256410256409</v>
      </c>
      <c r="M3" s="2">
        <f>_xlfn.STDEV.P(K3:K5)</f>
        <v>0.83121031342335649</v>
      </c>
    </row>
    <row r="4" spans="1:17" x14ac:dyDescent="0.3">
      <c r="A4">
        <v>2</v>
      </c>
      <c r="B4" s="2">
        <v>6.66</v>
      </c>
      <c r="C4" s="2">
        <v>14.11</v>
      </c>
      <c r="D4" s="2">
        <f t="shared" ref="D4" si="0">(C4-B4)/1000</f>
        <v>7.4499999999999992E-3</v>
      </c>
      <c r="E4" s="2">
        <f t="shared" ref="E4:E5" si="1">20/(100^2)</f>
        <v>2E-3</v>
      </c>
      <c r="F4" s="2">
        <v>5.2</v>
      </c>
      <c r="G4" s="2">
        <v>3</v>
      </c>
      <c r="H4" s="3">
        <f t="shared" ref="H4:H5" si="2">(D4/(E4*(G4/60)))</f>
        <v>74.499999999999986</v>
      </c>
      <c r="I4" s="3"/>
      <c r="J4" s="3"/>
      <c r="K4">
        <f>H4/F4</f>
        <v>14.326923076923073</v>
      </c>
      <c r="L4" s="3"/>
      <c r="M4" s="3"/>
      <c r="O4">
        <v>3.48</v>
      </c>
      <c r="P4">
        <v>13.910256410256409</v>
      </c>
      <c r="Q4">
        <v>0.83121031342335649</v>
      </c>
    </row>
    <row r="5" spans="1:17" x14ac:dyDescent="0.3">
      <c r="A5">
        <v>3</v>
      </c>
      <c r="B5" s="2">
        <v>6.69</v>
      </c>
      <c r="C5" s="2">
        <v>14.31</v>
      </c>
      <c r="D5" s="2">
        <f>(C5-B5)/1000</f>
        <v>7.62E-3</v>
      </c>
      <c r="E5" s="2">
        <f t="shared" si="1"/>
        <v>2E-3</v>
      </c>
      <c r="F5" s="2">
        <v>5.2</v>
      </c>
      <c r="G5" s="2">
        <v>3</v>
      </c>
      <c r="H5" s="3">
        <f t="shared" si="2"/>
        <v>76.2</v>
      </c>
      <c r="I5" s="3"/>
      <c r="J5" s="2"/>
      <c r="K5">
        <f>H5/F5</f>
        <v>14.653846153846153</v>
      </c>
      <c r="L5" s="3"/>
      <c r="M5" s="2"/>
      <c r="O5">
        <v>4.8099999999999996</v>
      </c>
      <c r="P5">
        <v>15.29487179487179</v>
      </c>
      <c r="Q5">
        <v>0.89518949617192167</v>
      </c>
    </row>
    <row r="6" spans="1:17" x14ac:dyDescent="0.3">
      <c r="A6" t="s">
        <v>19</v>
      </c>
      <c r="O6">
        <v>6.42</v>
      </c>
      <c r="P6">
        <v>14.019230769230768</v>
      </c>
      <c r="Q6">
        <v>0.82131371169471723</v>
      </c>
    </row>
    <row r="7" spans="1:17" x14ac:dyDescent="0.3">
      <c r="A7">
        <v>1</v>
      </c>
      <c r="B7" s="2">
        <v>6.68</v>
      </c>
      <c r="C7" s="2">
        <v>13.98</v>
      </c>
      <c r="D7" s="2">
        <f>(C7-B7)/1000</f>
        <v>7.3000000000000009E-3</v>
      </c>
      <c r="E7" s="2">
        <f>20/(100^2)</f>
        <v>2E-3</v>
      </c>
      <c r="F7" s="2">
        <v>5.2</v>
      </c>
      <c r="G7" s="2">
        <v>3</v>
      </c>
      <c r="H7" s="3">
        <f>(D7/(E7*(G7/60)))</f>
        <v>73</v>
      </c>
      <c r="I7" s="3">
        <f>AVERAGE(H7:H9)</f>
        <v>79.533333333333317</v>
      </c>
      <c r="J7" s="2">
        <f>_xlfn.STDEV.P(H7:H9)</f>
        <v>4.6549853800939918</v>
      </c>
      <c r="K7">
        <f>H7/F7</f>
        <v>14.038461538461538</v>
      </c>
      <c r="L7" s="3">
        <f>AVERAGE(K7:K9)</f>
        <v>15.29487179487179</v>
      </c>
      <c r="M7" s="2">
        <f>_xlfn.STDEV.P(K7:K9)</f>
        <v>0.89518949617192167</v>
      </c>
      <c r="O7">
        <v>8.85</v>
      </c>
      <c r="P7">
        <v>11.839743589743589</v>
      </c>
      <c r="Q7">
        <v>0.68808063759967741</v>
      </c>
    </row>
    <row r="8" spans="1:17" x14ac:dyDescent="0.3">
      <c r="A8">
        <v>2</v>
      </c>
      <c r="B8" s="2">
        <v>6.68</v>
      </c>
      <c r="C8" s="2">
        <v>14.89</v>
      </c>
      <c r="D8" s="2">
        <f t="shared" ref="D8" si="3">(C8-B8)/1000</f>
        <v>8.2100000000000003E-3</v>
      </c>
      <c r="E8" s="2">
        <f t="shared" ref="E8:E9" si="4">20/(100^2)</f>
        <v>2E-3</v>
      </c>
      <c r="F8" s="2">
        <v>5.2</v>
      </c>
      <c r="G8" s="2">
        <v>3</v>
      </c>
      <c r="H8" s="3">
        <f t="shared" ref="H8:H9" si="5">(D8/(E8*(G8/60)))</f>
        <v>82.1</v>
      </c>
      <c r="I8" s="3"/>
      <c r="J8" s="3"/>
      <c r="K8">
        <f t="shared" ref="K8:K9" si="6">H8/F8</f>
        <v>15.788461538461537</v>
      </c>
      <c r="L8" s="3"/>
      <c r="M8" s="3"/>
      <c r="O8">
        <v>9.94</v>
      </c>
      <c r="P8">
        <v>14.814102564102564</v>
      </c>
      <c r="Q8">
        <v>0.71375837582924617</v>
      </c>
    </row>
    <row r="9" spans="1:17" x14ac:dyDescent="0.3">
      <c r="A9">
        <v>3</v>
      </c>
      <c r="B9" s="2">
        <v>6.69</v>
      </c>
      <c r="C9" s="2">
        <v>15.04</v>
      </c>
      <c r="D9" s="2">
        <f>(C9-B9)/1000</f>
        <v>8.349999999999998E-3</v>
      </c>
      <c r="E9" s="2">
        <f t="shared" si="4"/>
        <v>2E-3</v>
      </c>
      <c r="F9" s="2">
        <v>5.2</v>
      </c>
      <c r="G9" s="2">
        <v>3</v>
      </c>
      <c r="H9" s="3">
        <f t="shared" si="5"/>
        <v>83.499999999999972</v>
      </c>
      <c r="I9" s="3"/>
      <c r="J9" s="2"/>
      <c r="K9">
        <f t="shared" si="6"/>
        <v>16.057692307692303</v>
      </c>
      <c r="L9" s="3"/>
      <c r="M9" s="2"/>
      <c r="O9">
        <v>10.53</v>
      </c>
      <c r="P9">
        <v>16.352564102564102</v>
      </c>
      <c r="Q9">
        <v>0.76639434319635258</v>
      </c>
    </row>
    <row r="10" spans="1:17" x14ac:dyDescent="0.3">
      <c r="A10" t="s">
        <v>18</v>
      </c>
    </row>
    <row r="11" spans="1:17" x14ac:dyDescent="0.3">
      <c r="A11">
        <v>1</v>
      </c>
      <c r="B11" s="2">
        <v>6.67</v>
      </c>
      <c r="C11" s="2">
        <v>13.36</v>
      </c>
      <c r="D11" s="2">
        <f>(C11-B11)/1000</f>
        <v>6.6899999999999998E-3</v>
      </c>
      <c r="E11" s="2">
        <f>20/(100^2)</f>
        <v>2E-3</v>
      </c>
      <c r="F11" s="2">
        <v>5.2</v>
      </c>
      <c r="G11" s="2">
        <v>3</v>
      </c>
      <c r="H11" s="3">
        <f>(D11/(E11*(G11/60)))</f>
        <v>66.899999999999991</v>
      </c>
      <c r="I11" s="3">
        <f>AVERAGE(H11:H13)</f>
        <v>72.899999999999991</v>
      </c>
      <c r="J11" s="2">
        <f>_xlfn.STDEV.P(H11:H13)</f>
        <v>4.270831300812528</v>
      </c>
      <c r="K11">
        <f>H11/F11</f>
        <v>12.865384615384613</v>
      </c>
      <c r="L11" s="3">
        <f>AVERAGE(K11:K13)</f>
        <v>14.019230769230768</v>
      </c>
      <c r="M11" s="2">
        <f>_xlfn.STDEV.P(K11:K13)</f>
        <v>0.82131371169471723</v>
      </c>
    </row>
    <row r="12" spans="1:17" x14ac:dyDescent="0.3">
      <c r="A12">
        <v>2</v>
      </c>
      <c r="B12" s="2">
        <v>6.67</v>
      </c>
      <c r="C12" s="2">
        <v>14.2</v>
      </c>
      <c r="D12" s="2">
        <f t="shared" ref="D12" si="7">(C12-B12)/1000</f>
        <v>7.5299999999999994E-3</v>
      </c>
      <c r="E12" s="2">
        <f t="shared" ref="E12:E13" si="8">20/(100^2)</f>
        <v>2E-3</v>
      </c>
      <c r="F12" s="2">
        <v>5.2</v>
      </c>
      <c r="G12" s="2">
        <v>3</v>
      </c>
      <c r="H12" s="3">
        <f t="shared" ref="H12:H13" si="9">(D12/(E12*(G12/60)))</f>
        <v>75.3</v>
      </c>
      <c r="I12" s="3"/>
      <c r="J12" s="3"/>
      <c r="K12">
        <f t="shared" ref="K12:K13" si="10">H12/F12</f>
        <v>14.48076923076923</v>
      </c>
      <c r="L12" s="3"/>
      <c r="M12" s="3"/>
    </row>
    <row r="13" spans="1:17" x14ac:dyDescent="0.3">
      <c r="A13">
        <v>3</v>
      </c>
      <c r="B13" s="2">
        <v>6.67</v>
      </c>
      <c r="C13" s="2">
        <v>14.32</v>
      </c>
      <c r="D13" s="2">
        <f>(C13-B13)/1000</f>
        <v>7.6500000000000005E-3</v>
      </c>
      <c r="E13" s="2">
        <f t="shared" si="8"/>
        <v>2E-3</v>
      </c>
      <c r="F13" s="2">
        <v>5.2</v>
      </c>
      <c r="G13" s="2">
        <v>3</v>
      </c>
      <c r="H13" s="3">
        <f t="shared" si="9"/>
        <v>76.5</v>
      </c>
      <c r="I13" s="3"/>
      <c r="J13" s="2"/>
      <c r="K13">
        <f t="shared" si="10"/>
        <v>14.711538461538462</v>
      </c>
      <c r="L13" s="3"/>
      <c r="M13" s="2"/>
    </row>
    <row r="14" spans="1:17" x14ac:dyDescent="0.3">
      <c r="A14" t="s">
        <v>20</v>
      </c>
    </row>
    <row r="15" spans="1:17" x14ac:dyDescent="0.3">
      <c r="A15">
        <v>1</v>
      </c>
      <c r="B15" s="2">
        <v>6.66</v>
      </c>
      <c r="C15" s="2">
        <v>12.33</v>
      </c>
      <c r="D15" s="2">
        <f>(C15-B15)/1000</f>
        <v>5.6699999999999997E-3</v>
      </c>
      <c r="E15" s="2">
        <f>20/(100^2)</f>
        <v>2E-3</v>
      </c>
      <c r="F15" s="2">
        <v>5.2</v>
      </c>
      <c r="G15" s="2">
        <v>3</v>
      </c>
      <c r="H15" s="3">
        <f>(D15/(E15*(G15/60)))</f>
        <v>56.699999999999996</v>
      </c>
      <c r="I15" s="3">
        <f>AVERAGE(H15:H17)</f>
        <v>61.566666666666663</v>
      </c>
      <c r="J15" s="2">
        <f>_xlfn.STDEV.P(H15:H17)</f>
        <v>3.5780193155183238</v>
      </c>
      <c r="K15">
        <f>H15/F15</f>
        <v>10.903846153846153</v>
      </c>
      <c r="L15" s="3">
        <f>AVERAGE(K15:K17)</f>
        <v>11.839743589743589</v>
      </c>
      <c r="M15" s="2">
        <f>_xlfn.STDEV.P(K15:K17)</f>
        <v>0.68808063759967741</v>
      </c>
    </row>
    <row r="16" spans="1:17" x14ac:dyDescent="0.3">
      <c r="A16">
        <v>2</v>
      </c>
      <c r="B16" s="2">
        <v>6.68</v>
      </c>
      <c r="C16" s="2">
        <v>12.96</v>
      </c>
      <c r="D16" s="2">
        <f t="shared" ref="D16" si="11">(C16-B16)/1000</f>
        <v>6.2800000000000009E-3</v>
      </c>
      <c r="E16" s="2">
        <f t="shared" ref="E16:E17" si="12">20/(100^2)</f>
        <v>2E-3</v>
      </c>
      <c r="F16" s="2">
        <v>5.2</v>
      </c>
      <c r="G16" s="2">
        <v>3</v>
      </c>
      <c r="H16" s="3">
        <f t="shared" ref="H16:H17" si="13">(D16/(E16*(G16/60)))</f>
        <v>62.800000000000004</v>
      </c>
      <c r="I16" s="3"/>
      <c r="J16" s="3"/>
      <c r="K16">
        <f t="shared" ref="K16:K17" si="14">H16/F16</f>
        <v>12.076923076923077</v>
      </c>
      <c r="L16" s="3"/>
      <c r="M16" s="3"/>
    </row>
    <row r="17" spans="1:13" x14ac:dyDescent="0.3">
      <c r="A17">
        <v>3</v>
      </c>
      <c r="B17" s="2">
        <v>6.66</v>
      </c>
      <c r="C17" s="2">
        <v>13.18</v>
      </c>
      <c r="D17" s="2">
        <f>(C17-B17)/1000</f>
        <v>6.5199999999999998E-3</v>
      </c>
      <c r="E17" s="2">
        <f t="shared" si="12"/>
        <v>2E-3</v>
      </c>
      <c r="F17" s="2">
        <v>5.2</v>
      </c>
      <c r="G17" s="2">
        <v>3</v>
      </c>
      <c r="H17" s="3">
        <f t="shared" si="13"/>
        <v>65.199999999999989</v>
      </c>
      <c r="I17" s="3"/>
      <c r="J17" s="2"/>
      <c r="K17">
        <f t="shared" si="14"/>
        <v>12.538461538461537</v>
      </c>
      <c r="L17" s="3"/>
      <c r="M17" s="2"/>
    </row>
    <row r="18" spans="1:13" x14ac:dyDescent="0.3">
      <c r="A18" t="s">
        <v>21</v>
      </c>
    </row>
    <row r="19" spans="1:13" x14ac:dyDescent="0.3">
      <c r="A19">
        <v>1</v>
      </c>
      <c r="B19" s="2">
        <v>6.67</v>
      </c>
      <c r="C19" s="2">
        <v>13.85</v>
      </c>
      <c r="D19" s="2">
        <f>(C19-B19)/1000</f>
        <v>7.1799999999999998E-3</v>
      </c>
      <c r="E19" s="2">
        <f>20/(100^2)</f>
        <v>2E-3</v>
      </c>
      <c r="F19" s="2">
        <v>5.2</v>
      </c>
      <c r="G19" s="2">
        <v>3</v>
      </c>
      <c r="H19" s="3">
        <f>(D19/(E19*(G19/60)))</f>
        <v>71.8</v>
      </c>
      <c r="I19" s="3">
        <f>AVERAGE(H19:H21)</f>
        <v>77.033333333333331</v>
      </c>
      <c r="J19" s="2">
        <f>_xlfn.STDEV.P(H19:H21)</f>
        <v>3.7115435543120818</v>
      </c>
      <c r="K19">
        <f>H19/F19</f>
        <v>13.807692307692307</v>
      </c>
      <c r="L19" s="3">
        <f>AVERAGE(K19:K21)</f>
        <v>14.814102564102564</v>
      </c>
      <c r="M19" s="2">
        <f>_xlfn.STDEV.P(K19:K21)</f>
        <v>0.71375837582924617</v>
      </c>
    </row>
    <row r="20" spans="1:13" x14ac:dyDescent="0.3">
      <c r="A20">
        <v>2</v>
      </c>
      <c r="B20" s="2">
        <v>6.66</v>
      </c>
      <c r="C20" s="2">
        <v>14.59</v>
      </c>
      <c r="D20" s="2">
        <f t="shared" ref="D20" si="15">(C20-B20)/1000</f>
        <v>7.9299999999999995E-3</v>
      </c>
      <c r="E20" s="2">
        <f t="shared" ref="E20:E21" si="16">20/(100^2)</f>
        <v>2E-3</v>
      </c>
      <c r="F20" s="2">
        <v>5.2</v>
      </c>
      <c r="G20" s="2">
        <v>3</v>
      </c>
      <c r="H20" s="3">
        <f t="shared" ref="H20:H21" si="17">(D20/(E20*(G20/60)))</f>
        <v>79.3</v>
      </c>
      <c r="I20" s="3"/>
      <c r="J20" s="3"/>
      <c r="K20">
        <f t="shared" ref="K20:K21" si="18">H20/F20</f>
        <v>15.249999999999998</v>
      </c>
      <c r="L20" s="3"/>
      <c r="M20" s="3"/>
    </row>
    <row r="21" spans="1:13" x14ac:dyDescent="0.3">
      <c r="A21">
        <v>3</v>
      </c>
      <c r="B21" s="2">
        <v>6.71</v>
      </c>
      <c r="C21" s="2">
        <v>14.71</v>
      </c>
      <c r="D21" s="2">
        <f>(C21-B21)/1000</f>
        <v>8.0000000000000002E-3</v>
      </c>
      <c r="E21" s="2">
        <f t="shared" si="16"/>
        <v>2E-3</v>
      </c>
      <c r="F21" s="2">
        <v>5.2</v>
      </c>
      <c r="G21" s="2">
        <v>3</v>
      </c>
      <c r="H21" s="3">
        <f t="shared" si="17"/>
        <v>80</v>
      </c>
      <c r="I21" s="3"/>
      <c r="J21" s="2"/>
      <c r="K21">
        <f t="shared" si="18"/>
        <v>15.384615384615383</v>
      </c>
      <c r="L21" s="3"/>
      <c r="M21" s="2"/>
    </row>
    <row r="22" spans="1:13" x14ac:dyDescent="0.3">
      <c r="A22" t="s">
        <v>22</v>
      </c>
    </row>
    <row r="23" spans="1:13" x14ac:dyDescent="0.3">
      <c r="A23">
        <v>1</v>
      </c>
      <c r="B23" s="2">
        <v>6.73</v>
      </c>
      <c r="C23" s="2">
        <v>14.67</v>
      </c>
      <c r="D23" s="2">
        <f>(C23-B23)/1000</f>
        <v>7.9399999999999991E-3</v>
      </c>
      <c r="E23" s="2">
        <f>20/(100^2)</f>
        <v>2E-3</v>
      </c>
      <c r="F23" s="2">
        <v>5.2</v>
      </c>
      <c r="G23" s="2">
        <v>3</v>
      </c>
      <c r="H23" s="3">
        <f>(D23/(E23*(G23/60)))</f>
        <v>79.399999999999991</v>
      </c>
      <c r="I23" s="3">
        <f>AVERAGE(H23:H25)</f>
        <v>85.033333333333331</v>
      </c>
      <c r="J23" s="2">
        <f>_xlfn.STDEV.P(H23:H25)</f>
        <v>3.9852505846210295</v>
      </c>
      <c r="K23">
        <f>H23/F23</f>
        <v>15.269230769230766</v>
      </c>
      <c r="L23" s="3">
        <f>AVERAGE(K23:K25)</f>
        <v>16.352564102564102</v>
      </c>
      <c r="M23" s="2">
        <f>_xlfn.STDEV.P(K23:K25)</f>
        <v>0.76639434319635258</v>
      </c>
    </row>
    <row r="24" spans="1:13" x14ac:dyDescent="0.3">
      <c r="A24">
        <v>2</v>
      </c>
      <c r="B24" s="2">
        <v>6.71</v>
      </c>
      <c r="C24" s="2">
        <v>15.48</v>
      </c>
      <c r="D24" s="2">
        <f t="shared" ref="D24" si="19">(C24-B24)/1000</f>
        <v>8.77E-3</v>
      </c>
      <c r="E24" s="2">
        <f t="shared" ref="E24:E25" si="20">20/(100^2)</f>
        <v>2E-3</v>
      </c>
      <c r="F24" s="2">
        <v>5.2</v>
      </c>
      <c r="G24" s="2">
        <v>3</v>
      </c>
      <c r="H24" s="3">
        <f t="shared" ref="H24:H25" si="21">(D24/(E24*(G24/60)))</f>
        <v>87.7</v>
      </c>
      <c r="I24" s="3"/>
      <c r="J24" s="3"/>
      <c r="K24">
        <f>H24/F24</f>
        <v>16.865384615384617</v>
      </c>
      <c r="L24" s="3"/>
      <c r="M24" s="3"/>
    </row>
    <row r="25" spans="1:13" x14ac:dyDescent="0.3">
      <c r="A25">
        <v>3</v>
      </c>
      <c r="B25" s="2">
        <v>6.71</v>
      </c>
      <c r="C25" s="2">
        <v>15.51</v>
      </c>
      <c r="D25" s="2">
        <f>(C25-B25)/1000</f>
        <v>8.8000000000000005E-3</v>
      </c>
      <c r="E25" s="2">
        <f t="shared" si="20"/>
        <v>2E-3</v>
      </c>
      <c r="F25" s="2">
        <v>5.2</v>
      </c>
      <c r="G25" s="2">
        <v>3</v>
      </c>
      <c r="H25" s="3">
        <f t="shared" si="21"/>
        <v>88</v>
      </c>
      <c r="I25" s="3"/>
      <c r="J25" s="2"/>
      <c r="K25">
        <f>H25/F25</f>
        <v>16.923076923076923</v>
      </c>
      <c r="L25" s="3"/>
      <c r="M25" s="2"/>
    </row>
    <row r="28" spans="1:13" x14ac:dyDescent="0.3">
      <c r="A28" s="50" t="s">
        <v>81</v>
      </c>
      <c r="B28" s="50"/>
      <c r="C28" s="50"/>
      <c r="D28" s="21"/>
      <c r="E28" s="21" t="s">
        <v>83</v>
      </c>
      <c r="F28">
        <v>0.11366306102038963</v>
      </c>
    </row>
    <row r="29" spans="1:13" x14ac:dyDescent="0.3">
      <c r="A29" t="s">
        <v>87</v>
      </c>
      <c r="B29" t="s">
        <v>86</v>
      </c>
      <c r="C29" t="s">
        <v>40</v>
      </c>
      <c r="D29" t="s">
        <v>9</v>
      </c>
      <c r="F29" t="s">
        <v>88</v>
      </c>
      <c r="G29" t="s">
        <v>84</v>
      </c>
      <c r="I29" t="s">
        <v>80</v>
      </c>
      <c r="J29" t="s">
        <v>82</v>
      </c>
    </row>
    <row r="30" spans="1:13" x14ac:dyDescent="0.3">
      <c r="A30">
        <v>25.5</v>
      </c>
      <c r="B30">
        <f>A30/1000</f>
        <v>2.5499999999999998E-2</v>
      </c>
      <c r="C30">
        <v>4.4771599999999996</v>
      </c>
      <c r="D30">
        <v>0.79190000000000005</v>
      </c>
      <c r="F30">
        <f>$F$28/B30</f>
        <v>4.457374941976064</v>
      </c>
      <c r="G30">
        <f>ABS(C30-F30)^2</f>
        <v>3.9144852101049839E-4</v>
      </c>
      <c r="I30">
        <v>10</v>
      </c>
      <c r="J30">
        <f>$F$28*1000/I30</f>
        <v>11.366306102038964</v>
      </c>
    </row>
    <row r="31" spans="1:13" x14ac:dyDescent="0.3">
      <c r="A31">
        <v>56.4</v>
      </c>
      <c r="B31">
        <f t="shared" ref="B31:B32" si="22">A31/1000</f>
        <v>5.6399999999999999E-2</v>
      </c>
      <c r="C31">
        <v>1.9531099999999999</v>
      </c>
      <c r="D31">
        <v>0.59519</v>
      </c>
      <c r="F31">
        <f t="shared" ref="F31:F32" si="23">$F$28/B31</f>
        <v>2.0153025003615181</v>
      </c>
      <c r="G31">
        <f t="shared" ref="G31:G32" si="24">ABS(C31-F31)^2</f>
        <v>3.867907101217447E-3</v>
      </c>
      <c r="I31">
        <v>11</v>
      </c>
      <c r="J31">
        <f t="shared" ref="J31:J39" si="25">$F$28*1000/I31</f>
        <v>10.333005547308149</v>
      </c>
    </row>
    <row r="32" spans="1:13" x14ac:dyDescent="0.3">
      <c r="A32">
        <v>111.5</v>
      </c>
      <c r="B32">
        <f t="shared" si="22"/>
        <v>0.1115</v>
      </c>
      <c r="C32">
        <v>1.0558399999999999</v>
      </c>
      <c r="D32">
        <v>0.74666999999999994</v>
      </c>
      <c r="F32">
        <f t="shared" si="23"/>
        <v>1.0193996504070819</v>
      </c>
      <c r="G32">
        <f t="shared" si="24"/>
        <v>1.3278990784540772E-3</v>
      </c>
      <c r="I32">
        <v>12</v>
      </c>
      <c r="J32">
        <f t="shared" si="25"/>
        <v>9.4719217516991367</v>
      </c>
    </row>
    <row r="33" spans="6:10" x14ac:dyDescent="0.3">
      <c r="I33">
        <v>13</v>
      </c>
      <c r="J33">
        <f t="shared" si="25"/>
        <v>8.7433123861838187</v>
      </c>
    </row>
    <row r="34" spans="6:10" x14ac:dyDescent="0.3">
      <c r="F34" t="s">
        <v>85</v>
      </c>
      <c r="G34">
        <f>SUM(G30:G32)</f>
        <v>5.5872547006820227E-3</v>
      </c>
      <c r="I34">
        <v>14</v>
      </c>
      <c r="J34">
        <f t="shared" si="25"/>
        <v>8.1187900728849733</v>
      </c>
    </row>
    <row r="35" spans="6:10" x14ac:dyDescent="0.3">
      <c r="I35">
        <v>15</v>
      </c>
      <c r="J35">
        <f t="shared" si="25"/>
        <v>7.5775374013593089</v>
      </c>
    </row>
    <row r="36" spans="6:10" x14ac:dyDescent="0.3">
      <c r="I36">
        <v>16</v>
      </c>
      <c r="J36">
        <f t="shared" si="25"/>
        <v>7.1039413137743521</v>
      </c>
    </row>
    <row r="37" spans="6:10" x14ac:dyDescent="0.3">
      <c r="G37">
        <f>F28*G34</f>
        <v>6.3506447198007955E-4</v>
      </c>
      <c r="I37">
        <v>17</v>
      </c>
      <c r="J37">
        <f t="shared" si="25"/>
        <v>6.6860624129640964</v>
      </c>
    </row>
    <row r="38" spans="6:10" x14ac:dyDescent="0.3">
      <c r="I38">
        <v>18</v>
      </c>
      <c r="J38">
        <f t="shared" si="25"/>
        <v>6.3146145011327572</v>
      </c>
    </row>
    <row r="39" spans="6:10" x14ac:dyDescent="0.3">
      <c r="G39">
        <f>SQRT(G37)</f>
        <v>2.5200485550482547E-2</v>
      </c>
      <c r="I39">
        <v>19</v>
      </c>
      <c r="J39">
        <f t="shared" si="25"/>
        <v>5.9822663694941909</v>
      </c>
    </row>
    <row r="40" spans="6:10" x14ac:dyDescent="0.3">
      <c r="I40">
        <v>20</v>
      </c>
      <c r="J40">
        <f>$F$28*1000/I40</f>
        <v>5.6831530510194819</v>
      </c>
    </row>
    <row r="41" spans="6:10" x14ac:dyDescent="0.3">
      <c r="I41">
        <v>21</v>
      </c>
      <c r="J41">
        <f t="shared" ref="J41:J104" si="26">$F$28*1000/I41</f>
        <v>5.4125267152566492</v>
      </c>
    </row>
    <row r="42" spans="6:10" x14ac:dyDescent="0.3">
      <c r="I42">
        <v>22</v>
      </c>
      <c r="J42">
        <f t="shared" si="26"/>
        <v>5.1665027736540745</v>
      </c>
    </row>
    <row r="43" spans="6:10" x14ac:dyDescent="0.3">
      <c r="I43">
        <v>23</v>
      </c>
      <c r="J43">
        <f t="shared" si="26"/>
        <v>4.9418722182778101</v>
      </c>
    </row>
    <row r="44" spans="6:10" x14ac:dyDescent="0.3">
      <c r="I44">
        <v>24</v>
      </c>
      <c r="J44">
        <f t="shared" si="26"/>
        <v>4.7359608758495684</v>
      </c>
    </row>
    <row r="45" spans="6:10" x14ac:dyDescent="0.3">
      <c r="I45">
        <v>25</v>
      </c>
      <c r="J45">
        <f t="shared" si="26"/>
        <v>4.5465224408155853</v>
      </c>
    </row>
    <row r="46" spans="6:10" x14ac:dyDescent="0.3">
      <c r="I46">
        <v>26</v>
      </c>
      <c r="J46">
        <f t="shared" si="26"/>
        <v>4.3716561930919093</v>
      </c>
    </row>
    <row r="47" spans="6:10" x14ac:dyDescent="0.3">
      <c r="I47">
        <v>27</v>
      </c>
      <c r="J47">
        <f t="shared" si="26"/>
        <v>4.2097430007551715</v>
      </c>
    </row>
    <row r="48" spans="6:10" x14ac:dyDescent="0.3">
      <c r="I48">
        <v>28</v>
      </c>
      <c r="J48">
        <f t="shared" si="26"/>
        <v>4.0593950364424867</v>
      </c>
    </row>
    <row r="49" spans="9:10" x14ac:dyDescent="0.3">
      <c r="I49">
        <v>29</v>
      </c>
      <c r="J49">
        <f t="shared" si="26"/>
        <v>3.9194158972548148</v>
      </c>
    </row>
    <row r="50" spans="9:10" x14ac:dyDescent="0.3">
      <c r="I50">
        <v>30</v>
      </c>
      <c r="J50">
        <f t="shared" si="26"/>
        <v>3.7887687006796544</v>
      </c>
    </row>
    <row r="51" spans="9:10" x14ac:dyDescent="0.3">
      <c r="I51">
        <v>31</v>
      </c>
      <c r="J51">
        <f t="shared" si="26"/>
        <v>3.6665503554964398</v>
      </c>
    </row>
    <row r="52" spans="9:10" x14ac:dyDescent="0.3">
      <c r="I52">
        <v>32</v>
      </c>
      <c r="J52">
        <f t="shared" si="26"/>
        <v>3.5519706568871761</v>
      </c>
    </row>
    <row r="53" spans="9:10" x14ac:dyDescent="0.3">
      <c r="I53">
        <v>33</v>
      </c>
      <c r="J53">
        <f t="shared" si="26"/>
        <v>3.4443351824360495</v>
      </c>
    </row>
    <row r="54" spans="9:10" x14ac:dyDescent="0.3">
      <c r="I54">
        <v>34</v>
      </c>
      <c r="J54">
        <f t="shared" si="26"/>
        <v>3.3430312064820482</v>
      </c>
    </row>
    <row r="55" spans="9:10" x14ac:dyDescent="0.3">
      <c r="I55">
        <v>35</v>
      </c>
      <c r="J55">
        <f t="shared" si="26"/>
        <v>3.2475160291539895</v>
      </c>
    </row>
    <row r="56" spans="9:10" x14ac:dyDescent="0.3">
      <c r="I56">
        <v>36</v>
      </c>
      <c r="J56">
        <f t="shared" si="26"/>
        <v>3.1573072505663786</v>
      </c>
    </row>
    <row r="57" spans="9:10" x14ac:dyDescent="0.3">
      <c r="I57">
        <v>37</v>
      </c>
      <c r="J57">
        <f t="shared" si="26"/>
        <v>3.0719746221726929</v>
      </c>
    </row>
    <row r="58" spans="9:10" x14ac:dyDescent="0.3">
      <c r="I58">
        <v>38</v>
      </c>
      <c r="J58">
        <f t="shared" si="26"/>
        <v>2.9911331847470954</v>
      </c>
    </row>
    <row r="59" spans="9:10" x14ac:dyDescent="0.3">
      <c r="I59">
        <v>39</v>
      </c>
      <c r="J59">
        <f t="shared" si="26"/>
        <v>2.9144374620612727</v>
      </c>
    </row>
    <row r="60" spans="9:10" x14ac:dyDescent="0.3">
      <c r="I60">
        <v>40</v>
      </c>
      <c r="J60">
        <f t="shared" si="26"/>
        <v>2.8415765255097409</v>
      </c>
    </row>
    <row r="61" spans="9:10" x14ac:dyDescent="0.3">
      <c r="I61">
        <v>41</v>
      </c>
      <c r="J61">
        <f t="shared" si="26"/>
        <v>2.7722697809851131</v>
      </c>
    </row>
    <row r="62" spans="9:10" x14ac:dyDescent="0.3">
      <c r="I62">
        <v>42</v>
      </c>
      <c r="J62">
        <f t="shared" si="26"/>
        <v>2.7062633576283246</v>
      </c>
    </row>
    <row r="63" spans="9:10" x14ac:dyDescent="0.3">
      <c r="I63">
        <v>43</v>
      </c>
      <c r="J63">
        <f t="shared" si="26"/>
        <v>2.6433270004741773</v>
      </c>
    </row>
    <row r="64" spans="9:10" x14ac:dyDescent="0.3">
      <c r="I64">
        <v>44</v>
      </c>
      <c r="J64">
        <f t="shared" si="26"/>
        <v>2.5832513868270373</v>
      </c>
    </row>
    <row r="65" spans="9:10" x14ac:dyDescent="0.3">
      <c r="I65">
        <v>45</v>
      </c>
      <c r="J65">
        <f t="shared" si="26"/>
        <v>2.5258458004531028</v>
      </c>
    </row>
    <row r="66" spans="9:10" x14ac:dyDescent="0.3">
      <c r="I66">
        <v>46</v>
      </c>
      <c r="J66">
        <f t="shared" si="26"/>
        <v>2.470936109138905</v>
      </c>
    </row>
    <row r="67" spans="9:10" x14ac:dyDescent="0.3">
      <c r="I67">
        <v>47</v>
      </c>
      <c r="J67">
        <f t="shared" si="26"/>
        <v>2.4183630004338221</v>
      </c>
    </row>
    <row r="68" spans="9:10" x14ac:dyDescent="0.3">
      <c r="I68">
        <v>48</v>
      </c>
      <c r="J68">
        <f t="shared" si="26"/>
        <v>2.3679804379247842</v>
      </c>
    </row>
    <row r="69" spans="9:10" x14ac:dyDescent="0.3">
      <c r="I69">
        <v>49</v>
      </c>
      <c r="J69">
        <f t="shared" si="26"/>
        <v>2.3196543065385637</v>
      </c>
    </row>
    <row r="70" spans="9:10" x14ac:dyDescent="0.3">
      <c r="I70">
        <v>50</v>
      </c>
      <c r="J70">
        <f t="shared" si="26"/>
        <v>2.2732612204077927</v>
      </c>
    </row>
    <row r="71" spans="9:10" x14ac:dyDescent="0.3">
      <c r="I71">
        <v>51</v>
      </c>
      <c r="J71">
        <f t="shared" si="26"/>
        <v>2.228687470988032</v>
      </c>
    </row>
    <row r="72" spans="9:10" x14ac:dyDescent="0.3">
      <c r="I72">
        <v>52</v>
      </c>
      <c r="J72">
        <f t="shared" si="26"/>
        <v>2.1858280965459547</v>
      </c>
    </row>
    <row r="73" spans="9:10" x14ac:dyDescent="0.3">
      <c r="I73">
        <v>53</v>
      </c>
      <c r="J73">
        <f t="shared" si="26"/>
        <v>2.1445860569884836</v>
      </c>
    </row>
    <row r="74" spans="9:10" x14ac:dyDescent="0.3">
      <c r="I74">
        <v>54</v>
      </c>
      <c r="J74">
        <f t="shared" si="26"/>
        <v>2.1048715003775857</v>
      </c>
    </row>
    <row r="75" spans="9:10" x14ac:dyDescent="0.3">
      <c r="I75">
        <v>55</v>
      </c>
      <c r="J75">
        <f t="shared" si="26"/>
        <v>2.0666011094616299</v>
      </c>
    </row>
    <row r="76" spans="9:10" x14ac:dyDescent="0.3">
      <c r="I76">
        <v>56</v>
      </c>
      <c r="J76">
        <f t="shared" si="26"/>
        <v>2.0296975182212433</v>
      </c>
    </row>
    <row r="77" spans="9:10" x14ac:dyDescent="0.3">
      <c r="I77">
        <v>57</v>
      </c>
      <c r="J77">
        <f t="shared" si="26"/>
        <v>1.994088789831397</v>
      </c>
    </row>
    <row r="78" spans="9:10" x14ac:dyDescent="0.3">
      <c r="I78">
        <v>58</v>
      </c>
      <c r="J78">
        <f t="shared" si="26"/>
        <v>1.9597079486274074</v>
      </c>
    </row>
    <row r="79" spans="9:10" x14ac:dyDescent="0.3">
      <c r="I79">
        <v>59</v>
      </c>
      <c r="J79">
        <f t="shared" si="26"/>
        <v>1.926492559667621</v>
      </c>
    </row>
    <row r="80" spans="9:10" x14ac:dyDescent="0.3">
      <c r="I80">
        <v>60</v>
      </c>
      <c r="J80">
        <f t="shared" si="26"/>
        <v>1.8943843503398272</v>
      </c>
    </row>
    <row r="81" spans="9:10" x14ac:dyDescent="0.3">
      <c r="I81">
        <v>61</v>
      </c>
      <c r="J81">
        <f t="shared" si="26"/>
        <v>1.8633288691867154</v>
      </c>
    </row>
    <row r="82" spans="9:10" x14ac:dyDescent="0.3">
      <c r="I82">
        <v>62</v>
      </c>
      <c r="J82">
        <f t="shared" si="26"/>
        <v>1.8332751777482199</v>
      </c>
    </row>
    <row r="83" spans="9:10" x14ac:dyDescent="0.3">
      <c r="I83">
        <v>63</v>
      </c>
      <c r="J83">
        <f t="shared" si="26"/>
        <v>1.8041755717522163</v>
      </c>
    </row>
    <row r="84" spans="9:10" x14ac:dyDescent="0.3">
      <c r="I84">
        <v>64</v>
      </c>
      <c r="J84">
        <f t="shared" si="26"/>
        <v>1.775985328443588</v>
      </c>
    </row>
    <row r="85" spans="9:10" x14ac:dyDescent="0.3">
      <c r="I85">
        <v>65</v>
      </c>
      <c r="J85">
        <f t="shared" si="26"/>
        <v>1.7486624772367636</v>
      </c>
    </row>
    <row r="86" spans="9:10" x14ac:dyDescent="0.3">
      <c r="I86">
        <v>66</v>
      </c>
      <c r="J86">
        <f t="shared" si="26"/>
        <v>1.7221675912180248</v>
      </c>
    </row>
    <row r="87" spans="9:10" x14ac:dyDescent="0.3">
      <c r="I87">
        <v>67</v>
      </c>
      <c r="J87">
        <f t="shared" si="26"/>
        <v>1.6964635973192483</v>
      </c>
    </row>
    <row r="88" spans="9:10" x14ac:dyDescent="0.3">
      <c r="I88">
        <v>68</v>
      </c>
      <c r="J88">
        <f t="shared" si="26"/>
        <v>1.6715156032410241</v>
      </c>
    </row>
    <row r="89" spans="9:10" x14ac:dyDescent="0.3">
      <c r="I89">
        <v>69</v>
      </c>
      <c r="J89">
        <f t="shared" si="26"/>
        <v>1.6472907394259366</v>
      </c>
    </row>
    <row r="90" spans="9:10" x14ac:dyDescent="0.3">
      <c r="I90">
        <v>70</v>
      </c>
      <c r="J90">
        <f t="shared" si="26"/>
        <v>1.6237580145769948</v>
      </c>
    </row>
    <row r="91" spans="9:10" x14ac:dyDescent="0.3">
      <c r="I91">
        <v>71</v>
      </c>
      <c r="J91">
        <f t="shared" si="26"/>
        <v>1.6008881833857695</v>
      </c>
    </row>
    <row r="92" spans="9:10" x14ac:dyDescent="0.3">
      <c r="I92">
        <v>72</v>
      </c>
      <c r="J92">
        <f t="shared" si="26"/>
        <v>1.5786536252831893</v>
      </c>
    </row>
    <row r="93" spans="9:10" x14ac:dyDescent="0.3">
      <c r="I93">
        <v>73</v>
      </c>
      <c r="J93">
        <f t="shared" si="26"/>
        <v>1.5570282331560223</v>
      </c>
    </row>
    <row r="94" spans="9:10" x14ac:dyDescent="0.3">
      <c r="I94">
        <v>74</v>
      </c>
      <c r="J94">
        <f t="shared" si="26"/>
        <v>1.5359873110863465</v>
      </c>
    </row>
    <row r="95" spans="9:10" x14ac:dyDescent="0.3">
      <c r="I95">
        <v>75</v>
      </c>
      <c r="J95">
        <f t="shared" si="26"/>
        <v>1.5155074802718618</v>
      </c>
    </row>
    <row r="96" spans="9:10" x14ac:dyDescent="0.3">
      <c r="I96">
        <v>76</v>
      </c>
      <c r="J96">
        <f t="shared" si="26"/>
        <v>1.4955665923735477</v>
      </c>
    </row>
    <row r="97" spans="9:10" x14ac:dyDescent="0.3">
      <c r="I97">
        <v>77</v>
      </c>
      <c r="J97">
        <f t="shared" si="26"/>
        <v>1.4761436496154499</v>
      </c>
    </row>
    <row r="98" spans="9:10" x14ac:dyDescent="0.3">
      <c r="I98">
        <v>78</v>
      </c>
      <c r="J98">
        <f t="shared" si="26"/>
        <v>1.4572187310306364</v>
      </c>
    </row>
    <row r="99" spans="9:10" x14ac:dyDescent="0.3">
      <c r="I99">
        <v>79</v>
      </c>
      <c r="J99">
        <f t="shared" si="26"/>
        <v>1.4387729243087295</v>
      </c>
    </row>
    <row r="100" spans="9:10" x14ac:dyDescent="0.3">
      <c r="I100">
        <v>80</v>
      </c>
      <c r="J100">
        <f t="shared" si="26"/>
        <v>1.4207882627548705</v>
      </c>
    </row>
    <row r="101" spans="9:10" x14ac:dyDescent="0.3">
      <c r="I101">
        <v>81</v>
      </c>
      <c r="J101">
        <f t="shared" si="26"/>
        <v>1.4032476669183906</v>
      </c>
    </row>
    <row r="102" spans="9:10" x14ac:dyDescent="0.3">
      <c r="I102">
        <v>82</v>
      </c>
      <c r="J102">
        <f t="shared" si="26"/>
        <v>1.3861348904925566</v>
      </c>
    </row>
    <row r="103" spans="9:10" x14ac:dyDescent="0.3">
      <c r="I103">
        <v>83</v>
      </c>
      <c r="J103">
        <f t="shared" si="26"/>
        <v>1.3694344701251764</v>
      </c>
    </row>
    <row r="104" spans="9:10" x14ac:dyDescent="0.3">
      <c r="I104">
        <v>84</v>
      </c>
      <c r="J104">
        <f t="shared" si="26"/>
        <v>1.3531316788141623</v>
      </c>
    </row>
    <row r="105" spans="9:10" x14ac:dyDescent="0.3">
      <c r="I105">
        <v>85</v>
      </c>
      <c r="J105">
        <f t="shared" ref="J105:J145" si="27">$F$28*1000/I105</f>
        <v>1.3372124825928193</v>
      </c>
    </row>
    <row r="106" spans="9:10" x14ac:dyDescent="0.3">
      <c r="I106">
        <v>86</v>
      </c>
      <c r="J106">
        <f t="shared" si="27"/>
        <v>1.3216635002370887</v>
      </c>
    </row>
    <row r="107" spans="9:10" x14ac:dyDescent="0.3">
      <c r="I107">
        <v>87</v>
      </c>
      <c r="J107">
        <f t="shared" si="27"/>
        <v>1.3064719657516051</v>
      </c>
    </row>
    <row r="108" spans="9:10" x14ac:dyDescent="0.3">
      <c r="I108">
        <v>88</v>
      </c>
      <c r="J108">
        <f t="shared" si="27"/>
        <v>1.2916256934135186</v>
      </c>
    </row>
    <row r="109" spans="9:10" x14ac:dyDescent="0.3">
      <c r="I109">
        <v>89</v>
      </c>
      <c r="J109">
        <f t="shared" si="27"/>
        <v>1.2771130451729171</v>
      </c>
    </row>
    <row r="110" spans="9:10" x14ac:dyDescent="0.3">
      <c r="I110">
        <v>90</v>
      </c>
      <c r="J110">
        <f t="shared" si="27"/>
        <v>1.2629229002265514</v>
      </c>
    </row>
    <row r="111" spans="9:10" x14ac:dyDescent="0.3">
      <c r="I111">
        <v>91</v>
      </c>
      <c r="J111">
        <f t="shared" si="27"/>
        <v>1.2490446265976882</v>
      </c>
    </row>
    <row r="112" spans="9:10" x14ac:dyDescent="0.3">
      <c r="I112">
        <v>92</v>
      </c>
      <c r="J112">
        <f t="shared" si="27"/>
        <v>1.2354680545694525</v>
      </c>
    </row>
    <row r="113" spans="9:10" x14ac:dyDescent="0.3">
      <c r="I113">
        <v>93</v>
      </c>
      <c r="J113">
        <f t="shared" si="27"/>
        <v>1.2221834518321466</v>
      </c>
    </row>
    <row r="114" spans="9:10" x14ac:dyDescent="0.3">
      <c r="I114">
        <v>94</v>
      </c>
      <c r="J114">
        <f t="shared" si="27"/>
        <v>1.2091815002169111</v>
      </c>
    </row>
    <row r="115" spans="9:10" x14ac:dyDescent="0.3">
      <c r="I115">
        <v>95</v>
      </c>
      <c r="J115">
        <f t="shared" si="27"/>
        <v>1.1964532738988383</v>
      </c>
    </row>
    <row r="116" spans="9:10" x14ac:dyDescent="0.3">
      <c r="I116">
        <v>96</v>
      </c>
      <c r="J116">
        <f t="shared" si="27"/>
        <v>1.1839902189623921</v>
      </c>
    </row>
    <row r="117" spans="9:10" x14ac:dyDescent="0.3">
      <c r="I117">
        <v>97</v>
      </c>
      <c r="J117">
        <f t="shared" si="27"/>
        <v>1.1717841342308211</v>
      </c>
    </row>
    <row r="118" spans="9:10" x14ac:dyDescent="0.3">
      <c r="I118">
        <v>98</v>
      </c>
      <c r="J118">
        <f t="shared" si="27"/>
        <v>1.1598271532692819</v>
      </c>
    </row>
    <row r="119" spans="9:10" x14ac:dyDescent="0.3">
      <c r="I119">
        <v>99</v>
      </c>
      <c r="J119">
        <f t="shared" si="27"/>
        <v>1.1481117274786832</v>
      </c>
    </row>
    <row r="120" spans="9:10" x14ac:dyDescent="0.3">
      <c r="I120">
        <v>100</v>
      </c>
      <c r="J120">
        <f t="shared" si="27"/>
        <v>1.1366306102038963</v>
      </c>
    </row>
    <row r="121" spans="9:10" x14ac:dyDescent="0.3">
      <c r="I121">
        <v>101</v>
      </c>
      <c r="J121">
        <f t="shared" si="27"/>
        <v>1.1253768417860359</v>
      </c>
    </row>
    <row r="122" spans="9:10" x14ac:dyDescent="0.3">
      <c r="I122">
        <v>102</v>
      </c>
      <c r="J122">
        <f t="shared" si="27"/>
        <v>1.114343735494016</v>
      </c>
    </row>
    <row r="123" spans="9:10" x14ac:dyDescent="0.3">
      <c r="I123">
        <v>103</v>
      </c>
      <c r="J123">
        <f t="shared" si="27"/>
        <v>1.1035248642756275</v>
      </c>
    </row>
    <row r="124" spans="9:10" x14ac:dyDescent="0.3">
      <c r="I124">
        <v>104</v>
      </c>
      <c r="J124">
        <f t="shared" si="27"/>
        <v>1.0929140482729773</v>
      </c>
    </row>
    <row r="125" spans="9:10" x14ac:dyDescent="0.3">
      <c r="I125">
        <v>105</v>
      </c>
      <c r="J125">
        <f t="shared" si="27"/>
        <v>1.0825053430513298</v>
      </c>
    </row>
    <row r="126" spans="9:10" x14ac:dyDescent="0.3">
      <c r="I126">
        <v>106</v>
      </c>
      <c r="J126">
        <f t="shared" si="27"/>
        <v>1.0722930284942418</v>
      </c>
    </row>
    <row r="127" spans="9:10" x14ac:dyDescent="0.3">
      <c r="I127">
        <v>107</v>
      </c>
      <c r="J127">
        <f t="shared" si="27"/>
        <v>1.0622715983213984</v>
      </c>
    </row>
    <row r="128" spans="9:10" x14ac:dyDescent="0.3">
      <c r="I128">
        <v>108</v>
      </c>
      <c r="J128">
        <f t="shared" si="27"/>
        <v>1.0524357501887929</v>
      </c>
    </row>
    <row r="129" spans="9:10" x14ac:dyDescent="0.3">
      <c r="I129">
        <v>109</v>
      </c>
      <c r="J129">
        <f t="shared" si="27"/>
        <v>1.0427803763338499</v>
      </c>
    </row>
    <row r="130" spans="9:10" x14ac:dyDescent="0.3">
      <c r="I130">
        <v>110</v>
      </c>
      <c r="J130">
        <f t="shared" si="27"/>
        <v>1.0333005547308149</v>
      </c>
    </row>
    <row r="131" spans="9:10" x14ac:dyDescent="0.3">
      <c r="I131">
        <v>111</v>
      </c>
      <c r="J131">
        <f t="shared" si="27"/>
        <v>1.023991540724231</v>
      </c>
    </row>
    <row r="132" spans="9:10" x14ac:dyDescent="0.3">
      <c r="I132">
        <v>112</v>
      </c>
      <c r="J132">
        <f t="shared" si="27"/>
        <v>1.0148487591106217</v>
      </c>
    </row>
    <row r="133" spans="9:10" x14ac:dyDescent="0.3">
      <c r="I133">
        <v>113</v>
      </c>
      <c r="J133">
        <f t="shared" si="27"/>
        <v>1.0058677966406162</v>
      </c>
    </row>
    <row r="134" spans="9:10" x14ac:dyDescent="0.3">
      <c r="I134">
        <v>114</v>
      </c>
      <c r="J134">
        <f t="shared" si="27"/>
        <v>0.99704439491569852</v>
      </c>
    </row>
    <row r="135" spans="9:10" x14ac:dyDescent="0.3">
      <c r="I135">
        <v>115</v>
      </c>
      <c r="J135">
        <f t="shared" si="27"/>
        <v>0.98837444365556204</v>
      </c>
    </row>
    <row r="136" spans="9:10" x14ac:dyDescent="0.3">
      <c r="I136">
        <v>116</v>
      </c>
      <c r="J136">
        <f t="shared" si="27"/>
        <v>0.97985397431370369</v>
      </c>
    </row>
    <row r="137" spans="9:10" x14ac:dyDescent="0.3">
      <c r="I137">
        <v>117</v>
      </c>
      <c r="J137">
        <f t="shared" si="27"/>
        <v>0.97147915402042417</v>
      </c>
    </row>
    <row r="138" spans="9:10" x14ac:dyDescent="0.3">
      <c r="I138">
        <v>118</v>
      </c>
      <c r="J138">
        <f t="shared" si="27"/>
        <v>0.9632462798338105</v>
      </c>
    </row>
    <row r="139" spans="9:10" x14ac:dyDescent="0.3">
      <c r="I139">
        <v>119</v>
      </c>
      <c r="J139">
        <f t="shared" si="27"/>
        <v>0.9551517732805852</v>
      </c>
    </row>
    <row r="140" spans="9:10" x14ac:dyDescent="0.3">
      <c r="I140">
        <v>120</v>
      </c>
      <c r="J140">
        <f t="shared" si="27"/>
        <v>0.94719217516991361</v>
      </c>
    </row>
    <row r="141" spans="9:10" x14ac:dyDescent="0.3">
      <c r="I141">
        <v>121</v>
      </c>
      <c r="J141">
        <f t="shared" si="27"/>
        <v>0.93936414066437712</v>
      </c>
    </row>
    <row r="142" spans="9:10" x14ac:dyDescent="0.3">
      <c r="I142">
        <v>122</v>
      </c>
      <c r="J142">
        <f t="shared" si="27"/>
        <v>0.93166443459335768</v>
      </c>
    </row>
    <row r="143" spans="9:10" x14ac:dyDescent="0.3">
      <c r="I143">
        <v>123</v>
      </c>
      <c r="J143">
        <f t="shared" si="27"/>
        <v>0.92408992699503767</v>
      </c>
    </row>
    <row r="144" spans="9:10" x14ac:dyDescent="0.3">
      <c r="I144">
        <v>124</v>
      </c>
      <c r="J144">
        <f t="shared" si="27"/>
        <v>0.91663758887410995</v>
      </c>
    </row>
    <row r="145" spans="9:10" x14ac:dyDescent="0.3">
      <c r="I145">
        <v>125</v>
      </c>
      <c r="J145">
        <f t="shared" si="27"/>
        <v>0.90930448816311704</v>
      </c>
    </row>
  </sheetData>
  <mergeCells count="2">
    <mergeCell ref="A1:M1"/>
    <mergeCell ref="A28:C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AC012-53B8-4F78-BD9E-81A5DDBD4A08}">
  <dimension ref="A1:AC52"/>
  <sheetViews>
    <sheetView topLeftCell="A22" workbookViewId="0">
      <selection activeCell="A29" sqref="A29:XFD32"/>
    </sheetView>
  </sheetViews>
  <sheetFormatPr defaultRowHeight="14.4" x14ac:dyDescent="0.3"/>
  <cols>
    <col min="5" max="5" width="12.6640625" customWidth="1"/>
    <col min="6" max="6" width="12.109375" bestFit="1" customWidth="1"/>
    <col min="7" max="7" width="12.44140625" customWidth="1"/>
    <col min="11" max="11" width="11.5546875" customWidth="1"/>
    <col min="12" max="12" width="9.6640625" customWidth="1"/>
    <col min="15" max="15" width="10.5546875" bestFit="1" customWidth="1"/>
    <col min="16" max="16" width="9.6640625" bestFit="1" customWidth="1"/>
    <col min="17" max="17" width="11.6640625" bestFit="1" customWidth="1"/>
  </cols>
  <sheetData>
    <row r="1" spans="1:29" ht="43.2" x14ac:dyDescent="0.3">
      <c r="A1" s="19" t="s">
        <v>0</v>
      </c>
      <c r="B1" s="19" t="s">
        <v>1</v>
      </c>
      <c r="C1" s="1" t="s">
        <v>2</v>
      </c>
      <c r="D1" s="19" t="s">
        <v>3</v>
      </c>
      <c r="E1" s="1" t="s">
        <v>4</v>
      </c>
      <c r="F1" s="19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23</v>
      </c>
      <c r="L1" s="1" t="s">
        <v>24</v>
      </c>
      <c r="M1" s="1" t="s">
        <v>9</v>
      </c>
      <c r="N1" s="19" t="s">
        <v>0</v>
      </c>
      <c r="O1" s="19" t="s">
        <v>41</v>
      </c>
      <c r="P1" s="19" t="s">
        <v>42</v>
      </c>
      <c r="Q1" s="19" t="s">
        <v>27</v>
      </c>
      <c r="R1" s="19" t="s">
        <v>28</v>
      </c>
      <c r="S1" s="19" t="s">
        <v>9</v>
      </c>
      <c r="U1" s="50" t="s">
        <v>27</v>
      </c>
      <c r="V1" s="50"/>
      <c r="W1" s="50"/>
      <c r="X1" s="50"/>
      <c r="Y1" s="50"/>
      <c r="Z1" s="50"/>
      <c r="AA1" s="21"/>
      <c r="AB1" s="21"/>
      <c r="AC1" s="21"/>
    </row>
    <row r="2" spans="1:29" x14ac:dyDescent="0.3">
      <c r="A2" t="s">
        <v>17</v>
      </c>
      <c r="N2" s="4" t="s">
        <v>17</v>
      </c>
      <c r="O2" s="4"/>
      <c r="P2" s="4"/>
      <c r="Q2" s="4"/>
      <c r="R2" s="4"/>
      <c r="S2" s="4"/>
      <c r="U2" s="50" t="s">
        <v>43</v>
      </c>
      <c r="V2" s="50"/>
      <c r="W2" s="50"/>
      <c r="X2" s="50" t="s">
        <v>44</v>
      </c>
      <c r="Y2" s="50"/>
      <c r="Z2" s="50"/>
    </row>
    <row r="3" spans="1:29" x14ac:dyDescent="0.3">
      <c r="A3">
        <v>1</v>
      </c>
      <c r="B3" s="2">
        <v>6.67</v>
      </c>
      <c r="C3" s="2">
        <v>12.95</v>
      </c>
      <c r="D3" s="2">
        <f>(C3-B3)/1000</f>
        <v>6.2799999999999991E-3</v>
      </c>
      <c r="E3" s="2">
        <f>20/(100^2)</f>
        <v>2E-3</v>
      </c>
      <c r="F3" s="2">
        <v>6.8949999999999996</v>
      </c>
      <c r="G3" s="2">
        <v>3</v>
      </c>
      <c r="H3" s="3">
        <f>(D3/(E3*(G3/60)))</f>
        <v>62.79999999999999</v>
      </c>
      <c r="I3" s="3">
        <f>AVERAGE(H3:H5)</f>
        <v>66.333333333333329</v>
      </c>
      <c r="J3" s="2">
        <f>_xlfn.STDEV.P(H3:H5)</f>
        <v>2.5104227178350351</v>
      </c>
      <c r="K3">
        <f>H3/F3</f>
        <v>9.1080493110949963</v>
      </c>
      <c r="L3" s="3">
        <f>AVERAGE(K3:K5)</f>
        <v>9.6204979453710422</v>
      </c>
      <c r="M3" s="2">
        <f>_xlfn.STDEV.P(K3:K5)</f>
        <v>0.36409321505946801</v>
      </c>
      <c r="N3">
        <v>1</v>
      </c>
      <c r="O3" s="4">
        <v>41.3</v>
      </c>
      <c r="P3" s="4">
        <v>8.5299999999999994</v>
      </c>
      <c r="Q3" s="5">
        <f t="shared" ref="Q3:Q25" si="0">(O3-P3)*100/O3</f>
        <v>79.346246973365609</v>
      </c>
      <c r="R3" s="5">
        <f>AVERAGE(Q3:Q4)</f>
        <v>78.93462469733656</v>
      </c>
      <c r="S3" s="5">
        <f>_xlfn.STDEV.P(Q3:Q4)</f>
        <v>0.41162227602904977</v>
      </c>
      <c r="U3" t="s">
        <v>39</v>
      </c>
      <c r="V3" t="s">
        <v>40</v>
      </c>
      <c r="W3" t="s">
        <v>9</v>
      </c>
      <c r="X3" t="s">
        <v>39</v>
      </c>
      <c r="Y3" t="s">
        <v>40</v>
      </c>
      <c r="Z3" t="s">
        <v>9</v>
      </c>
    </row>
    <row r="4" spans="1:29" x14ac:dyDescent="0.3">
      <c r="A4">
        <v>2</v>
      </c>
      <c r="B4" s="2">
        <v>6.68</v>
      </c>
      <c r="C4" s="2">
        <v>13.46</v>
      </c>
      <c r="D4" s="2">
        <f t="shared" ref="D4" si="1">(C4-B4)/1000</f>
        <v>6.7800000000000013E-3</v>
      </c>
      <c r="E4" s="2">
        <f t="shared" ref="E4:E5" si="2">20/(100^2)</f>
        <v>2E-3</v>
      </c>
      <c r="F4" s="2">
        <v>6.8949999999999996</v>
      </c>
      <c r="G4" s="2">
        <v>3</v>
      </c>
      <c r="H4" s="3">
        <f t="shared" ref="H4:H5" si="3">(D4/(E4*(G4/60)))</f>
        <v>67.800000000000011</v>
      </c>
      <c r="I4" s="3"/>
      <c r="J4" s="3"/>
      <c r="K4">
        <f t="shared" ref="K4:K5" si="4">H4/F4</f>
        <v>9.8332124728063839</v>
      </c>
      <c r="L4" s="3"/>
      <c r="M4" s="3"/>
      <c r="N4">
        <v>2</v>
      </c>
      <c r="O4" s="4">
        <v>41.3</v>
      </c>
      <c r="P4" s="4">
        <v>8.8699999999999992</v>
      </c>
      <c r="Q4" s="5">
        <f t="shared" si="0"/>
        <v>78.52300242130751</v>
      </c>
      <c r="R4" s="5"/>
      <c r="S4" s="5"/>
      <c r="U4">
        <v>3.53</v>
      </c>
      <c r="V4" s="18">
        <f>R3</f>
        <v>78.93462469733656</v>
      </c>
      <c r="W4" s="18">
        <f>S3</f>
        <v>0.41162227602904977</v>
      </c>
      <c r="X4">
        <v>3.54</v>
      </c>
      <c r="Y4" s="18">
        <f>R30</f>
        <v>84.823113207547166</v>
      </c>
      <c r="Z4" s="18">
        <f>S30</f>
        <v>0.36556603773584584</v>
      </c>
    </row>
    <row r="5" spans="1:29" x14ac:dyDescent="0.3">
      <c r="A5">
        <v>3</v>
      </c>
      <c r="B5" s="2">
        <v>6.74</v>
      </c>
      <c r="C5" s="2">
        <v>13.58</v>
      </c>
      <c r="D5" s="2">
        <f>(C5-B5)/1000</f>
        <v>6.8399999999999997E-3</v>
      </c>
      <c r="E5" s="2">
        <f t="shared" si="2"/>
        <v>2E-3</v>
      </c>
      <c r="F5" s="2">
        <v>6.8949999999999996</v>
      </c>
      <c r="G5" s="2">
        <v>3</v>
      </c>
      <c r="H5" s="3">
        <f t="shared" si="3"/>
        <v>68.399999999999991</v>
      </c>
      <c r="I5" s="3"/>
      <c r="J5" s="2"/>
      <c r="K5">
        <f t="shared" si="4"/>
        <v>9.9202320522117464</v>
      </c>
      <c r="L5" s="3"/>
      <c r="M5" s="2"/>
      <c r="N5">
        <v>3</v>
      </c>
      <c r="O5" s="4">
        <v>41.3</v>
      </c>
      <c r="P5" s="4">
        <v>8.24</v>
      </c>
      <c r="Q5" s="5">
        <f t="shared" si="0"/>
        <v>80.04842615012106</v>
      </c>
      <c r="R5" s="5"/>
      <c r="S5" s="5"/>
      <c r="U5">
        <v>5.18</v>
      </c>
      <c r="V5" s="18">
        <f>R7</f>
        <v>99.028400597907336</v>
      </c>
      <c r="W5" s="18">
        <f>S7</f>
        <v>0.29895366218234898</v>
      </c>
      <c r="X5">
        <v>5.16</v>
      </c>
      <c r="Y5" s="18">
        <f>R34</f>
        <v>98.019093078758942</v>
      </c>
      <c r="Z5" s="18">
        <f>S34</f>
        <v>0.66825775656324282</v>
      </c>
    </row>
    <row r="6" spans="1:29" x14ac:dyDescent="0.3">
      <c r="A6" t="s">
        <v>19</v>
      </c>
      <c r="N6" s="6" t="s">
        <v>19</v>
      </c>
      <c r="O6" s="6"/>
      <c r="P6" s="6"/>
      <c r="Q6" s="7" t="e">
        <f t="shared" si="0"/>
        <v>#DIV/0!</v>
      </c>
      <c r="R6" s="6"/>
      <c r="S6" s="6"/>
      <c r="U6">
        <v>6.87</v>
      </c>
      <c r="V6" s="18">
        <f>R11</f>
        <v>99.292929292929301</v>
      </c>
      <c r="W6" s="18">
        <f>S11</f>
        <v>0.2525252525252526</v>
      </c>
      <c r="X6">
        <v>6.94</v>
      </c>
      <c r="Y6" s="18">
        <f>R38</f>
        <v>98.705035971223026</v>
      </c>
      <c r="Z6" s="18">
        <f>S38</f>
        <v>0.59952038369304006</v>
      </c>
    </row>
    <row r="7" spans="1:29" x14ac:dyDescent="0.3">
      <c r="A7">
        <v>1</v>
      </c>
      <c r="B7" s="2">
        <v>6.68</v>
      </c>
      <c r="C7" s="2">
        <v>12.45</v>
      </c>
      <c r="D7" s="2">
        <f>(C7-B7)/1000</f>
        <v>5.77E-3</v>
      </c>
      <c r="E7" s="2">
        <f>20/(100^2)</f>
        <v>2E-3</v>
      </c>
      <c r="F7" s="2">
        <v>6.8949999999999996</v>
      </c>
      <c r="G7" s="2">
        <v>3</v>
      </c>
      <c r="H7" s="3">
        <f>(D7/(E7*(G7/60)))</f>
        <v>57.699999999999996</v>
      </c>
      <c r="I7" s="3">
        <f>AVERAGE(H7:H9)</f>
        <v>61.633333333333326</v>
      </c>
      <c r="J7" s="2">
        <f>_xlfn.STDEV.P(H7:H9)</f>
        <v>2.8569603116288151</v>
      </c>
      <c r="K7">
        <f>H7/F7</f>
        <v>8.3683828861493836</v>
      </c>
      <c r="L7" s="3">
        <f>AVERAGE(K7:K9)</f>
        <v>8.9388445733623385</v>
      </c>
      <c r="M7" s="2">
        <f>_xlfn.STDEV.P(K7:K9)</f>
        <v>0.4143524744929391</v>
      </c>
      <c r="N7">
        <v>1</v>
      </c>
      <c r="O7" s="6">
        <v>40.14</v>
      </c>
      <c r="P7" s="6">
        <v>0.51</v>
      </c>
      <c r="Q7" s="7">
        <f t="shared" si="0"/>
        <v>98.72944693572498</v>
      </c>
      <c r="R7" s="7">
        <f>AVERAGE(Q7:Q8)</f>
        <v>99.028400597907336</v>
      </c>
      <c r="S7" s="7">
        <f>_xlfn.STDEV.P(Q7:Q8)</f>
        <v>0.29895366218234898</v>
      </c>
      <c r="U7">
        <v>8.8000000000000007</v>
      </c>
      <c r="V7" s="18">
        <f>R15</f>
        <v>92.860696517412933</v>
      </c>
      <c r="W7" s="18">
        <f>S15</f>
        <v>0.54726368159204242</v>
      </c>
      <c r="X7">
        <v>9</v>
      </c>
      <c r="Y7" s="18">
        <f>R42</f>
        <v>98.825665859564168</v>
      </c>
      <c r="Z7" s="18">
        <f>S42</f>
        <v>0.59322033898303772</v>
      </c>
    </row>
    <row r="8" spans="1:29" x14ac:dyDescent="0.3">
      <c r="A8">
        <v>2</v>
      </c>
      <c r="B8" s="2">
        <v>6.7</v>
      </c>
      <c r="C8" s="2">
        <v>12.98</v>
      </c>
      <c r="D8" s="2">
        <f t="shared" ref="D8" si="5">(C8-B8)/1000</f>
        <v>6.28E-3</v>
      </c>
      <c r="E8" s="2">
        <f t="shared" ref="E8:E9" si="6">20/(100^2)</f>
        <v>2E-3</v>
      </c>
      <c r="F8" s="2">
        <v>6.8949999999999996</v>
      </c>
      <c r="G8" s="2">
        <v>3</v>
      </c>
      <c r="H8" s="3">
        <f t="shared" ref="H8:H9" si="7">(D8/(E8*(G8/60)))</f>
        <v>62.8</v>
      </c>
      <c r="I8" s="3"/>
      <c r="J8" s="3"/>
      <c r="K8">
        <f t="shared" ref="K8:K9" si="8">H8/F8</f>
        <v>9.1080493110949963</v>
      </c>
      <c r="L8" s="3"/>
      <c r="M8" s="3"/>
      <c r="N8">
        <v>2</v>
      </c>
      <c r="O8" s="6">
        <v>40.14</v>
      </c>
      <c r="P8" s="6">
        <v>0.27</v>
      </c>
      <c r="Q8" s="7">
        <f t="shared" si="0"/>
        <v>99.327354260089677</v>
      </c>
      <c r="R8" s="7"/>
      <c r="S8" s="7"/>
      <c r="U8">
        <v>9.9700000000000006</v>
      </c>
      <c r="V8" s="18">
        <f>R19</f>
        <v>98.685503685503676</v>
      </c>
      <c r="W8" s="18">
        <f>S19</f>
        <v>0.60196560196560966</v>
      </c>
      <c r="X8">
        <v>9.8800000000000008</v>
      </c>
      <c r="Y8" s="18">
        <f>R46</f>
        <v>99.178921568627459</v>
      </c>
      <c r="Z8" s="18">
        <f>S46</f>
        <v>0.30637254901960631</v>
      </c>
    </row>
    <row r="9" spans="1:29" x14ac:dyDescent="0.3">
      <c r="A9">
        <v>3</v>
      </c>
      <c r="B9" s="2">
        <v>6.66</v>
      </c>
      <c r="C9" s="2">
        <v>13.1</v>
      </c>
      <c r="D9" s="2">
        <f>(C9-B9)/1000</f>
        <v>6.4399999999999995E-3</v>
      </c>
      <c r="E9" s="2">
        <f t="shared" si="6"/>
        <v>2E-3</v>
      </c>
      <c r="F9" s="2">
        <v>6.8949999999999996</v>
      </c>
      <c r="G9" s="2">
        <v>3</v>
      </c>
      <c r="H9" s="3">
        <f t="shared" si="7"/>
        <v>64.399999999999991</v>
      </c>
      <c r="I9" s="3"/>
      <c r="J9" s="2"/>
      <c r="K9">
        <f t="shared" si="8"/>
        <v>9.3401015228426392</v>
      </c>
      <c r="L9" s="3"/>
      <c r="M9" s="2"/>
      <c r="N9">
        <v>3</v>
      </c>
      <c r="O9" s="6">
        <v>40.14</v>
      </c>
      <c r="P9" s="6">
        <v>0.35</v>
      </c>
      <c r="Q9" s="7">
        <f t="shared" si="0"/>
        <v>99.128051818634773</v>
      </c>
      <c r="R9" s="7"/>
      <c r="S9" s="7"/>
      <c r="U9">
        <v>10.47</v>
      </c>
      <c r="V9" s="18">
        <f>R23</f>
        <v>99.34782608695653</v>
      </c>
      <c r="W9" s="18">
        <f>S23</f>
        <v>0.33816425120772919</v>
      </c>
      <c r="X9">
        <v>10.43</v>
      </c>
      <c r="Y9" s="18">
        <f>R50</f>
        <v>98.982630272952861</v>
      </c>
      <c r="Z9" s="18">
        <f>S50</f>
        <v>0.52109181141438654</v>
      </c>
    </row>
    <row r="10" spans="1:29" x14ac:dyDescent="0.3">
      <c r="A10" t="s">
        <v>18</v>
      </c>
      <c r="N10" s="8" t="s">
        <v>18</v>
      </c>
      <c r="O10" s="8"/>
      <c r="P10" s="8"/>
      <c r="Q10" s="9" t="e">
        <f t="shared" si="0"/>
        <v>#DIV/0!</v>
      </c>
      <c r="R10" s="8"/>
      <c r="S10" s="8"/>
    </row>
    <row r="11" spans="1:29" x14ac:dyDescent="0.3">
      <c r="A11">
        <v>1</v>
      </c>
      <c r="B11" s="2">
        <v>6.67</v>
      </c>
      <c r="C11" s="2">
        <v>13.84</v>
      </c>
      <c r="D11" s="2">
        <f>(C11-B11)/1000</f>
        <v>7.1700000000000002E-3</v>
      </c>
      <c r="E11" s="2">
        <f>20/(100^2)</f>
        <v>2E-3</v>
      </c>
      <c r="F11" s="2">
        <v>6.8949999999999996</v>
      </c>
      <c r="G11" s="2">
        <v>3</v>
      </c>
      <c r="H11" s="3">
        <f>(D11/(E11*(G11/60)))</f>
        <v>71.7</v>
      </c>
      <c r="I11" s="3">
        <f>AVERAGE(H11:H13)</f>
        <v>77</v>
      </c>
      <c r="J11" s="2">
        <f>_xlfn.STDEV.P(H11:H13)</f>
        <v>3.8635044540762</v>
      </c>
      <c r="K11">
        <f>H11/F11</f>
        <v>10.398839738941263</v>
      </c>
      <c r="L11" s="3">
        <f>AVERAGE(K11:K13)</f>
        <v>11.167512690355331</v>
      </c>
      <c r="M11" s="2">
        <f>_xlfn.STDEV.P(K11:K13)</f>
        <v>0.56033422104078323</v>
      </c>
      <c r="N11">
        <v>1</v>
      </c>
      <c r="O11" s="8">
        <v>39.6</v>
      </c>
      <c r="P11" s="8">
        <v>0.38</v>
      </c>
      <c r="Q11" s="9">
        <f t="shared" si="0"/>
        <v>99.040404040404042</v>
      </c>
      <c r="R11" s="9">
        <f>AVERAGE(Q11:Q12)</f>
        <v>99.292929292929301</v>
      </c>
      <c r="S11" s="9">
        <f>_xlfn.STDEV.P(Q11:Q12)</f>
        <v>0.2525252525252526</v>
      </c>
    </row>
    <row r="12" spans="1:29" x14ac:dyDescent="0.3">
      <c r="A12">
        <v>2</v>
      </c>
      <c r="B12" s="2">
        <v>6.66</v>
      </c>
      <c r="C12" s="2">
        <v>14.51</v>
      </c>
      <c r="D12" s="2">
        <f t="shared" ref="D12" si="9">(C12-B12)/1000</f>
        <v>7.8499999999999993E-3</v>
      </c>
      <c r="E12" s="2">
        <f t="shared" ref="E12:E13" si="10">20/(100^2)</f>
        <v>2E-3</v>
      </c>
      <c r="F12" s="2">
        <v>6.8949999999999996</v>
      </c>
      <c r="G12" s="2">
        <v>3</v>
      </c>
      <c r="H12" s="3">
        <f t="shared" ref="H12:H13" si="11">(D12/(E12*(G12/60)))</f>
        <v>78.499999999999986</v>
      </c>
      <c r="I12" s="3"/>
      <c r="J12" s="3"/>
      <c r="K12">
        <f t="shared" ref="K12:K13" si="12">H12/F12</f>
        <v>11.385061638868745</v>
      </c>
      <c r="L12" s="3"/>
      <c r="M12" s="3"/>
      <c r="N12">
        <v>2</v>
      </c>
      <c r="O12" s="8">
        <v>39.6</v>
      </c>
      <c r="P12" s="8">
        <v>0.18</v>
      </c>
      <c r="Q12" s="9">
        <f t="shared" si="0"/>
        <v>99.545454545454547</v>
      </c>
      <c r="R12" s="9"/>
      <c r="S12" s="9"/>
    </row>
    <row r="13" spans="1:29" x14ac:dyDescent="0.3">
      <c r="A13">
        <v>3</v>
      </c>
      <c r="B13" s="2">
        <v>6.67</v>
      </c>
      <c r="C13" s="2">
        <v>14.75</v>
      </c>
      <c r="D13" s="2">
        <f>(C13-B13)/1000</f>
        <v>8.0800000000000004E-3</v>
      </c>
      <c r="E13" s="2">
        <f t="shared" si="10"/>
        <v>2E-3</v>
      </c>
      <c r="F13" s="2">
        <v>6.8949999999999996</v>
      </c>
      <c r="G13" s="2">
        <v>3</v>
      </c>
      <c r="H13" s="3">
        <f t="shared" si="11"/>
        <v>80.8</v>
      </c>
      <c r="I13" s="3"/>
      <c r="J13" s="2"/>
      <c r="K13">
        <f t="shared" si="12"/>
        <v>11.718636693255982</v>
      </c>
      <c r="L13" s="3"/>
      <c r="M13" s="2"/>
      <c r="N13">
        <v>3</v>
      </c>
      <c r="O13" s="8">
        <v>39.6</v>
      </c>
      <c r="P13" s="8">
        <v>0.28999999999999998</v>
      </c>
      <c r="Q13" s="9">
        <f t="shared" si="0"/>
        <v>99.267676767676761</v>
      </c>
      <c r="R13" s="9"/>
      <c r="S13" s="9"/>
    </row>
    <row r="14" spans="1:29" x14ac:dyDescent="0.3">
      <c r="A14" t="s">
        <v>20</v>
      </c>
      <c r="N14" s="10" t="s">
        <v>20</v>
      </c>
      <c r="O14" s="10"/>
      <c r="P14" s="10"/>
      <c r="Q14" s="11" t="e">
        <f t="shared" si="0"/>
        <v>#DIV/0!</v>
      </c>
      <c r="R14" s="10"/>
      <c r="S14" s="10"/>
    </row>
    <row r="15" spans="1:29" x14ac:dyDescent="0.3">
      <c r="A15">
        <v>1</v>
      </c>
      <c r="B15" s="2">
        <v>6.65</v>
      </c>
      <c r="C15" s="2">
        <v>11.66</v>
      </c>
      <c r="D15" s="2">
        <f>(C15-B15)/1000</f>
        <v>5.0099999999999997E-3</v>
      </c>
      <c r="E15" s="2">
        <f>20/(100^2)</f>
        <v>2E-3</v>
      </c>
      <c r="F15" s="2">
        <v>6.8949999999999996</v>
      </c>
      <c r="G15" s="2">
        <v>3</v>
      </c>
      <c r="H15" s="3">
        <f>(D15/(E15*(G15/60)))</f>
        <v>50.099999999999994</v>
      </c>
      <c r="I15" s="3">
        <f>AVERAGE(H15:H17)</f>
        <v>53.499999999999993</v>
      </c>
      <c r="J15" s="2">
        <f>_xlfn.STDEV.P(H15:H17)</f>
        <v>2.566450207322684</v>
      </c>
      <c r="K15">
        <f>H15/F15</f>
        <v>7.2661348803480781</v>
      </c>
      <c r="L15" s="3">
        <f>AVERAGE(K15:K17)</f>
        <v>7.7592458303118192</v>
      </c>
      <c r="M15" s="2">
        <f>_xlfn.STDEV.P(K15:K17)</f>
        <v>0.37221902934339163</v>
      </c>
      <c r="N15">
        <v>1</v>
      </c>
      <c r="O15" s="10">
        <v>40.200000000000003</v>
      </c>
      <c r="P15" s="10">
        <v>3.09</v>
      </c>
      <c r="Q15" s="11">
        <f t="shared" si="0"/>
        <v>92.31343283582089</v>
      </c>
      <c r="R15" s="11">
        <f>AVERAGE(Q15:Q16)</f>
        <v>92.860696517412933</v>
      </c>
      <c r="S15" s="11">
        <f>_xlfn.STDEV.P(Q15:Q16)</f>
        <v>0.54726368159204242</v>
      </c>
    </row>
    <row r="16" spans="1:29" x14ac:dyDescent="0.3">
      <c r="A16">
        <v>2</v>
      </c>
      <c r="B16" s="2">
        <v>6.64</v>
      </c>
      <c r="C16" s="2">
        <v>12.05</v>
      </c>
      <c r="D16" s="2">
        <f t="shared" ref="D16" si="13">(C16-B16)/1000</f>
        <v>5.4100000000000007E-3</v>
      </c>
      <c r="E16" s="2">
        <f t="shared" ref="E16:E17" si="14">20/(100^2)</f>
        <v>2E-3</v>
      </c>
      <c r="F16" s="2">
        <v>6.8949999999999996</v>
      </c>
      <c r="G16" s="2">
        <v>3</v>
      </c>
      <c r="H16" s="3">
        <f t="shared" ref="H16:H17" si="15">(D16/(E16*(G16/60)))</f>
        <v>54.1</v>
      </c>
      <c r="I16" s="3"/>
      <c r="J16" s="3"/>
      <c r="K16">
        <f t="shared" ref="K16:K17" si="16">H16/F16</f>
        <v>7.8462654097171871</v>
      </c>
      <c r="L16" s="3"/>
      <c r="M16" s="3"/>
      <c r="N16">
        <v>2</v>
      </c>
      <c r="O16" s="10">
        <v>40.200000000000003</v>
      </c>
      <c r="P16" s="10">
        <v>2.65</v>
      </c>
      <c r="Q16" s="11">
        <f t="shared" si="0"/>
        <v>93.407960199004975</v>
      </c>
      <c r="R16" s="11"/>
      <c r="S16" s="11"/>
    </row>
    <row r="17" spans="1:19" x14ac:dyDescent="0.3">
      <c r="A17">
        <v>3</v>
      </c>
      <c r="B17" s="2">
        <v>6.66</v>
      </c>
      <c r="C17" s="2">
        <v>12.29</v>
      </c>
      <c r="D17" s="2">
        <f>(C17-B17)/1000</f>
        <v>5.6299999999999987E-3</v>
      </c>
      <c r="E17" s="2">
        <f t="shared" si="14"/>
        <v>2E-3</v>
      </c>
      <c r="F17" s="2">
        <v>6.8949999999999996</v>
      </c>
      <c r="G17" s="2">
        <v>3</v>
      </c>
      <c r="H17" s="3">
        <f t="shared" si="15"/>
        <v>56.299999999999983</v>
      </c>
      <c r="I17" s="3"/>
      <c r="J17" s="2"/>
      <c r="K17">
        <f t="shared" si="16"/>
        <v>8.1653372008701943</v>
      </c>
      <c r="L17" s="3"/>
      <c r="M17" s="2"/>
      <c r="N17">
        <v>3</v>
      </c>
      <c r="O17" s="10">
        <v>40.200000000000003</v>
      </c>
      <c r="P17" s="10">
        <v>3.32</v>
      </c>
      <c r="Q17" s="11">
        <f t="shared" si="0"/>
        <v>91.741293532338318</v>
      </c>
      <c r="R17" s="11"/>
      <c r="S17" s="11"/>
    </row>
    <row r="18" spans="1:19" x14ac:dyDescent="0.3">
      <c r="A18" t="s">
        <v>21</v>
      </c>
      <c r="N18" s="12" t="s">
        <v>21</v>
      </c>
      <c r="O18" s="12"/>
      <c r="P18" s="12"/>
      <c r="Q18" s="13" t="e">
        <f t="shared" si="0"/>
        <v>#DIV/0!</v>
      </c>
      <c r="R18" s="12"/>
      <c r="S18" s="12"/>
    </row>
    <row r="19" spans="1:19" x14ac:dyDescent="0.3">
      <c r="A19">
        <v>1</v>
      </c>
      <c r="B19" s="2">
        <v>6.67</v>
      </c>
      <c r="C19" s="2">
        <v>11.92</v>
      </c>
      <c r="D19" s="2">
        <f>(C19-B19)/1000</f>
        <v>5.2500000000000003E-3</v>
      </c>
      <c r="E19" s="2">
        <f>20/(100^2)</f>
        <v>2E-3</v>
      </c>
      <c r="F19" s="2">
        <v>6.8949999999999996</v>
      </c>
      <c r="G19" s="2">
        <v>3</v>
      </c>
      <c r="H19" s="3">
        <f>(D19/(E19*(G19/60)))</f>
        <v>52.5</v>
      </c>
      <c r="I19" s="3">
        <f>AVERAGE(H19:H21)</f>
        <v>55.966666666666669</v>
      </c>
      <c r="J19" s="2">
        <f>_xlfn.STDEV.P(H19:H21)</f>
        <v>2.58370965001015</v>
      </c>
      <c r="K19">
        <f>H19/F19</f>
        <v>7.6142131979695433</v>
      </c>
      <c r="L19" s="3">
        <f>AVERAGE(K19:K21)</f>
        <v>8.1169929900894378</v>
      </c>
      <c r="M19" s="2">
        <f>_xlfn.STDEV.P(K19:K21)</f>
        <v>0.37472221174911535</v>
      </c>
      <c r="N19">
        <v>1</v>
      </c>
      <c r="O19" s="12">
        <v>40.700000000000003</v>
      </c>
      <c r="P19" s="12">
        <v>0.78</v>
      </c>
      <c r="Q19" s="13">
        <f t="shared" si="0"/>
        <v>98.083538083538073</v>
      </c>
      <c r="R19" s="13">
        <f>AVERAGE(Q19:Q20)</f>
        <v>98.685503685503676</v>
      </c>
      <c r="S19" s="13">
        <f>_xlfn.STDEV.P(Q19:Q20)</f>
        <v>0.60196560196560966</v>
      </c>
    </row>
    <row r="20" spans="1:19" x14ac:dyDescent="0.3">
      <c r="A20">
        <v>2</v>
      </c>
      <c r="B20" s="2">
        <v>6.67</v>
      </c>
      <c r="C20" s="2">
        <v>12.34</v>
      </c>
      <c r="D20" s="2">
        <f t="shared" ref="D20" si="17">(C20-B20)/1000</f>
        <v>5.6699999999999997E-3</v>
      </c>
      <c r="E20" s="2">
        <f t="shared" ref="E20:E21" si="18">20/(100^2)</f>
        <v>2E-3</v>
      </c>
      <c r="F20" s="2">
        <v>6.8949999999999996</v>
      </c>
      <c r="G20" s="2">
        <v>3</v>
      </c>
      <c r="H20" s="3">
        <f t="shared" ref="H20:H21" si="19">(D20/(E20*(G20/60)))</f>
        <v>56.699999999999996</v>
      </c>
      <c r="I20" s="3"/>
      <c r="J20" s="3"/>
      <c r="K20">
        <f t="shared" ref="K20:K21" si="20">H20/F20</f>
        <v>8.2233502538071068</v>
      </c>
      <c r="L20" s="3"/>
      <c r="M20" s="3"/>
      <c r="N20">
        <v>2</v>
      </c>
      <c r="O20" s="12">
        <v>40.700000000000003</v>
      </c>
      <c r="P20" s="12">
        <v>0.28999999999999998</v>
      </c>
      <c r="Q20" s="13">
        <f t="shared" si="0"/>
        <v>99.287469287469293</v>
      </c>
      <c r="R20" s="13"/>
      <c r="S20" s="13"/>
    </row>
    <row r="21" spans="1:19" x14ac:dyDescent="0.3">
      <c r="A21">
        <v>3</v>
      </c>
      <c r="B21" s="2">
        <v>6.68</v>
      </c>
      <c r="C21" s="2">
        <v>12.55</v>
      </c>
      <c r="D21" s="2">
        <f>(C21-B21)/1000</f>
        <v>5.8700000000000011E-3</v>
      </c>
      <c r="E21" s="2">
        <f t="shared" si="18"/>
        <v>2E-3</v>
      </c>
      <c r="F21" s="2">
        <v>6.8949999999999996</v>
      </c>
      <c r="G21" s="2">
        <v>3</v>
      </c>
      <c r="H21" s="3">
        <f t="shared" si="19"/>
        <v>58.70000000000001</v>
      </c>
      <c r="I21" s="3"/>
      <c r="J21" s="2"/>
      <c r="K21">
        <f t="shared" si="20"/>
        <v>8.5134155184916622</v>
      </c>
      <c r="L21" s="3"/>
      <c r="M21" s="2"/>
      <c r="N21">
        <v>3</v>
      </c>
      <c r="O21" s="12">
        <v>40.700000000000003</v>
      </c>
      <c r="P21" s="12">
        <v>0.5</v>
      </c>
      <c r="Q21" s="13">
        <f t="shared" si="0"/>
        <v>98.77149877149877</v>
      </c>
      <c r="R21" s="13"/>
      <c r="S21" s="13"/>
    </row>
    <row r="22" spans="1:19" x14ac:dyDescent="0.3">
      <c r="A22" t="s">
        <v>22</v>
      </c>
      <c r="N22" s="14" t="s">
        <v>22</v>
      </c>
      <c r="O22" s="14"/>
      <c r="P22" s="14"/>
      <c r="Q22" s="15" t="e">
        <f t="shared" si="0"/>
        <v>#DIV/0!</v>
      </c>
      <c r="R22" s="14"/>
      <c r="S22" s="14"/>
    </row>
    <row r="23" spans="1:19" x14ac:dyDescent="0.3">
      <c r="A23">
        <v>1</v>
      </c>
      <c r="B23" s="2">
        <v>6.67</v>
      </c>
      <c r="C23" s="2">
        <v>12.58</v>
      </c>
      <c r="D23" s="2">
        <f>(C23-B23)/1000</f>
        <v>5.9100000000000003E-3</v>
      </c>
      <c r="E23" s="2">
        <f>20/(100^2)</f>
        <v>2E-3</v>
      </c>
      <c r="F23" s="2">
        <v>6.8949999999999996</v>
      </c>
      <c r="G23" s="2">
        <v>3</v>
      </c>
      <c r="H23" s="3">
        <f>(D23/(E23*(G23/60)))</f>
        <v>59.1</v>
      </c>
      <c r="I23" s="3">
        <f>AVERAGE(H23:H25)</f>
        <v>62.79999999999999</v>
      </c>
      <c r="J23" s="2">
        <f>_xlfn.STDEV.P(H23:H25)</f>
        <v>2.7288581250527981</v>
      </c>
      <c r="K23">
        <f>H23/F23</f>
        <v>8.571428571428573</v>
      </c>
      <c r="L23" s="3">
        <f>AVERAGE(K23:K25)</f>
        <v>9.1080493110949963</v>
      </c>
      <c r="M23" s="2">
        <f>_xlfn.STDEV.P(K23:K25)</f>
        <v>0.39577347716501726</v>
      </c>
      <c r="N23">
        <v>1</v>
      </c>
      <c r="O23" s="14">
        <v>41.4</v>
      </c>
      <c r="P23" s="14">
        <v>0.41</v>
      </c>
      <c r="Q23" s="15">
        <f t="shared" si="0"/>
        <v>99.009661835748801</v>
      </c>
      <c r="R23" s="15">
        <f>AVERAGE(Q23:Q24)</f>
        <v>99.34782608695653</v>
      </c>
      <c r="S23" s="15">
        <f>_xlfn.STDEV.P(Q23:Q24)</f>
        <v>0.33816425120772919</v>
      </c>
    </row>
    <row r="24" spans="1:19" x14ac:dyDescent="0.3">
      <c r="A24">
        <v>2</v>
      </c>
      <c r="B24" s="2">
        <v>6.67</v>
      </c>
      <c r="C24" s="2">
        <v>13.04</v>
      </c>
      <c r="D24" s="2">
        <f t="shared" ref="D24" si="21">(C24-B24)/1000</f>
        <v>6.3699999999999989E-3</v>
      </c>
      <c r="E24" s="2">
        <f t="shared" ref="E24:E25" si="22">20/(100^2)</f>
        <v>2E-3</v>
      </c>
      <c r="F24" s="2">
        <v>6.8949999999999996</v>
      </c>
      <c r="G24" s="2">
        <v>3</v>
      </c>
      <c r="H24" s="3">
        <f t="shared" ref="H24:H25" si="23">(D24/(E24*(G24/60)))</f>
        <v>63.699999999999989</v>
      </c>
      <c r="I24" s="3"/>
      <c r="J24" s="3"/>
      <c r="K24">
        <f t="shared" ref="K24:K25" si="24">H24/F24</f>
        <v>9.2385786802030445</v>
      </c>
      <c r="L24" s="3"/>
      <c r="M24" s="3"/>
      <c r="N24">
        <v>2</v>
      </c>
      <c r="O24" s="14">
        <v>41.4</v>
      </c>
      <c r="P24" s="14">
        <v>0.13</v>
      </c>
      <c r="Q24" s="15">
        <f t="shared" si="0"/>
        <v>99.68599033816426</v>
      </c>
      <c r="R24" s="15"/>
      <c r="S24" s="15"/>
    </row>
    <row r="25" spans="1:19" x14ac:dyDescent="0.3">
      <c r="A25">
        <v>3</v>
      </c>
      <c r="B25" s="2">
        <v>6.65</v>
      </c>
      <c r="C25" s="2">
        <v>13.21</v>
      </c>
      <c r="D25" s="2">
        <f>(C25-B25)/1000</f>
        <v>6.5600000000000007E-3</v>
      </c>
      <c r="E25" s="2">
        <f t="shared" si="22"/>
        <v>2E-3</v>
      </c>
      <c r="F25" s="2">
        <v>6.8949999999999996</v>
      </c>
      <c r="G25" s="2">
        <v>3</v>
      </c>
      <c r="H25" s="3">
        <f t="shared" si="23"/>
        <v>65.600000000000009</v>
      </c>
      <c r="I25" s="3"/>
      <c r="J25" s="2"/>
      <c r="K25">
        <f t="shared" si="24"/>
        <v>9.5141406816533731</v>
      </c>
      <c r="L25" s="3"/>
      <c r="M25" s="2"/>
      <c r="N25">
        <v>3</v>
      </c>
      <c r="O25" s="14">
        <v>41.4</v>
      </c>
      <c r="P25" s="14">
        <v>0.25</v>
      </c>
      <c r="Q25" s="15">
        <f t="shared" si="0"/>
        <v>99.39613526570048</v>
      </c>
      <c r="R25" s="15"/>
      <c r="S25" s="15"/>
    </row>
    <row r="27" spans="1:19" x14ac:dyDescent="0.3">
      <c r="B27" s="50" t="s">
        <v>44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</row>
    <row r="28" spans="1:19" ht="43.2" x14ac:dyDescent="0.3">
      <c r="A28" s="19" t="s">
        <v>0</v>
      </c>
      <c r="B28" s="19" t="s">
        <v>1</v>
      </c>
      <c r="C28" s="1" t="s">
        <v>2</v>
      </c>
      <c r="D28" s="19" t="s">
        <v>3</v>
      </c>
      <c r="E28" s="1" t="s">
        <v>4</v>
      </c>
      <c r="F28" s="19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K28" s="1" t="s">
        <v>23</v>
      </c>
      <c r="L28" s="1" t="s">
        <v>24</v>
      </c>
      <c r="M28" s="1" t="s">
        <v>9</v>
      </c>
      <c r="N28" s="19" t="s">
        <v>0</v>
      </c>
      <c r="O28" s="19" t="s">
        <v>41</v>
      </c>
      <c r="P28" s="19" t="s">
        <v>42</v>
      </c>
      <c r="Q28" s="19" t="s">
        <v>27</v>
      </c>
      <c r="R28" s="19" t="s">
        <v>28</v>
      </c>
      <c r="S28" s="19" t="s">
        <v>9</v>
      </c>
    </row>
    <row r="29" spans="1:19" x14ac:dyDescent="0.3">
      <c r="A29" t="s">
        <v>17</v>
      </c>
      <c r="N29" s="4" t="s">
        <v>17</v>
      </c>
      <c r="O29" s="4"/>
      <c r="P29" s="4"/>
      <c r="Q29" s="4"/>
      <c r="R29" s="4"/>
      <c r="S29" s="4"/>
    </row>
    <row r="30" spans="1:19" x14ac:dyDescent="0.3">
      <c r="A30">
        <v>1</v>
      </c>
      <c r="B30" s="2">
        <v>6.68</v>
      </c>
      <c r="C30" s="2">
        <v>14.19</v>
      </c>
      <c r="D30" s="2">
        <f>(C30-B30)/1000</f>
        <v>7.5100000000000002E-3</v>
      </c>
      <c r="E30" s="2">
        <f>20/(100^2)</f>
        <v>2E-3</v>
      </c>
      <c r="F30" s="2">
        <v>6.8949999999999996</v>
      </c>
      <c r="G30" s="2">
        <v>3</v>
      </c>
      <c r="H30" s="3">
        <f>(D30/(E30*(G30/60)))</f>
        <v>75.099999999999994</v>
      </c>
      <c r="I30" s="3">
        <f>AVERAGE(H30:H32)</f>
        <v>79</v>
      </c>
      <c r="J30" s="2">
        <f>_xlfn.STDEV.P(H30:H32)</f>
        <v>2.8647280266487192</v>
      </c>
      <c r="K30">
        <f>H30/F30</f>
        <v>10.891950688905004</v>
      </c>
      <c r="L30" s="3">
        <f>AVERAGE(K30:K32)</f>
        <v>11.457577955039882</v>
      </c>
      <c r="M30" s="2">
        <f>_xlfn.STDEV.P(K30:K32)</f>
        <v>0.41547904664956004</v>
      </c>
      <c r="N30">
        <v>1</v>
      </c>
      <c r="O30" s="4">
        <v>42.4</v>
      </c>
      <c r="P30" s="4">
        <v>6.59</v>
      </c>
      <c r="Q30" s="5">
        <f t="shared" ref="Q30:Q52" si="25">(O30-P30)*100/O30</f>
        <v>84.45754716981132</v>
      </c>
      <c r="R30" s="5">
        <f>AVERAGE(Q30:Q31)</f>
        <v>84.823113207547166</v>
      </c>
      <c r="S30" s="5">
        <f>_xlfn.STDEV.P(Q30:Q31)</f>
        <v>0.36556603773584584</v>
      </c>
    </row>
    <row r="31" spans="1:19" x14ac:dyDescent="0.3">
      <c r="A31">
        <v>2</v>
      </c>
      <c r="B31" s="2">
        <v>6.65</v>
      </c>
      <c r="C31" s="2">
        <v>14.65</v>
      </c>
      <c r="D31" s="2">
        <f t="shared" ref="D31" si="26">(C31-B31)/1000</f>
        <v>8.0000000000000002E-3</v>
      </c>
      <c r="E31" s="2">
        <f t="shared" ref="E31:E32" si="27">20/(100^2)</f>
        <v>2E-3</v>
      </c>
      <c r="F31" s="2">
        <v>6.8949999999999996</v>
      </c>
      <c r="G31" s="2">
        <v>3</v>
      </c>
      <c r="H31" s="3">
        <f t="shared" ref="H31:H32" si="28">(D31/(E31*(G31/60)))</f>
        <v>80</v>
      </c>
      <c r="I31" s="3"/>
      <c r="J31" s="3"/>
      <c r="K31">
        <f t="shared" ref="K31:K32" si="29">H31/F31</f>
        <v>11.602610587382161</v>
      </c>
      <c r="L31" s="3"/>
      <c r="M31" s="3"/>
      <c r="N31">
        <v>2</v>
      </c>
      <c r="O31" s="4">
        <v>42.4</v>
      </c>
      <c r="P31" s="4">
        <v>6.28</v>
      </c>
      <c r="Q31" s="5">
        <f t="shared" si="25"/>
        <v>85.188679245283012</v>
      </c>
      <c r="R31" s="5"/>
      <c r="S31" s="5"/>
    </row>
    <row r="32" spans="1:19" x14ac:dyDescent="0.3">
      <c r="A32">
        <v>3</v>
      </c>
      <c r="B32" s="2">
        <v>6.67</v>
      </c>
      <c r="C32" s="2">
        <v>14.86</v>
      </c>
      <c r="D32" s="2">
        <f>(C32-B32)/1000</f>
        <v>8.1899999999999994E-3</v>
      </c>
      <c r="E32" s="2">
        <f t="shared" si="27"/>
        <v>2E-3</v>
      </c>
      <c r="F32" s="2">
        <v>6.8949999999999996</v>
      </c>
      <c r="G32" s="2">
        <v>3</v>
      </c>
      <c r="H32" s="3">
        <f t="shared" si="28"/>
        <v>81.899999999999991</v>
      </c>
      <c r="I32" s="3"/>
      <c r="J32" s="2"/>
      <c r="K32">
        <f t="shared" si="29"/>
        <v>11.878172588832486</v>
      </c>
      <c r="L32" s="3"/>
      <c r="M32" s="2"/>
      <c r="N32">
        <v>3</v>
      </c>
      <c r="O32" s="4">
        <v>42.4</v>
      </c>
      <c r="P32" s="4">
        <v>6.73</v>
      </c>
      <c r="Q32" s="5">
        <f t="shared" si="25"/>
        <v>84.127358490566039</v>
      </c>
      <c r="R32" s="5"/>
      <c r="S32" s="5"/>
    </row>
    <row r="33" spans="1:19" x14ac:dyDescent="0.3">
      <c r="A33" t="s">
        <v>19</v>
      </c>
      <c r="N33" s="6" t="s">
        <v>19</v>
      </c>
      <c r="O33" s="6"/>
      <c r="P33" s="6"/>
      <c r="Q33" s="7" t="e">
        <f t="shared" si="25"/>
        <v>#DIV/0!</v>
      </c>
      <c r="R33" s="6"/>
      <c r="S33" s="6"/>
    </row>
    <row r="34" spans="1:19" x14ac:dyDescent="0.3">
      <c r="A34">
        <v>1</v>
      </c>
      <c r="B34" s="2">
        <v>6.67</v>
      </c>
      <c r="C34" s="2">
        <v>12.74</v>
      </c>
      <c r="D34" s="2">
        <f>(C34-B34)/1000</f>
        <v>6.0699999999999999E-3</v>
      </c>
      <c r="E34" s="2">
        <f>20/(100^2)</f>
        <v>2E-3</v>
      </c>
      <c r="F34" s="2">
        <v>6.8949999999999996</v>
      </c>
      <c r="G34" s="2">
        <v>3</v>
      </c>
      <c r="H34" s="3">
        <f>(D34/(E34*(G34/60)))</f>
        <v>60.699999999999996</v>
      </c>
      <c r="I34" s="3">
        <f>AVERAGE(H34:H36)</f>
        <v>64.566666666666663</v>
      </c>
      <c r="J34" s="2">
        <f>_xlfn.STDEV.P(H34:H36)</f>
        <v>2.9329545209945249</v>
      </c>
      <c r="K34">
        <f>H34/F34</f>
        <v>8.8034807831762141</v>
      </c>
      <c r="L34" s="3">
        <f>AVERAGE(K34:K36)</f>
        <v>9.3642736282330201</v>
      </c>
      <c r="M34" s="2">
        <f>_xlfn.STDEV.P(K34:K36)</f>
        <v>0.42537411472001857</v>
      </c>
      <c r="N34">
        <v>1</v>
      </c>
      <c r="O34" s="6">
        <v>41.9</v>
      </c>
      <c r="P34" s="6">
        <v>1.1100000000000001</v>
      </c>
      <c r="Q34" s="7">
        <f t="shared" si="25"/>
        <v>97.350835322195707</v>
      </c>
      <c r="R34" s="7">
        <f>AVERAGE(Q34:Q35)</f>
        <v>98.019093078758942</v>
      </c>
      <c r="S34" s="7">
        <f>_xlfn.STDEV.P(Q34:Q35)</f>
        <v>0.66825775656324282</v>
      </c>
    </row>
    <row r="35" spans="1:19" x14ac:dyDescent="0.3">
      <c r="A35">
        <v>2</v>
      </c>
      <c r="B35" s="2">
        <v>6.68</v>
      </c>
      <c r="C35" s="2">
        <v>13.2</v>
      </c>
      <c r="D35" s="2">
        <f t="shared" ref="D35" si="30">(C35-B35)/1000</f>
        <v>6.5199999999999998E-3</v>
      </c>
      <c r="E35" s="2">
        <f t="shared" ref="E35:E36" si="31">20/(100^2)</f>
        <v>2E-3</v>
      </c>
      <c r="F35" s="2">
        <v>6.8949999999999996</v>
      </c>
      <c r="G35" s="2">
        <v>3</v>
      </c>
      <c r="H35" s="3">
        <f t="shared" ref="H35:H36" si="32">(D35/(E35*(G35/60)))</f>
        <v>65.199999999999989</v>
      </c>
      <c r="I35" s="3"/>
      <c r="J35" s="3"/>
      <c r="K35">
        <f t="shared" ref="K35:K36" si="33">H35/F35</f>
        <v>9.4561276287164606</v>
      </c>
      <c r="L35" s="3"/>
      <c r="M35" s="3"/>
      <c r="N35">
        <v>2</v>
      </c>
      <c r="O35" s="6">
        <v>41.9</v>
      </c>
      <c r="P35" s="6">
        <v>0.55000000000000004</v>
      </c>
      <c r="Q35" s="7">
        <f t="shared" si="25"/>
        <v>98.687350835322192</v>
      </c>
      <c r="R35" s="7"/>
      <c r="S35" s="7"/>
    </row>
    <row r="36" spans="1:19" x14ac:dyDescent="0.3">
      <c r="A36">
        <v>3</v>
      </c>
      <c r="B36" s="2">
        <v>6.65</v>
      </c>
      <c r="C36" s="2">
        <v>13.43</v>
      </c>
      <c r="D36" s="2">
        <f>(C36-B36)/1000</f>
        <v>6.7799999999999996E-3</v>
      </c>
      <c r="E36" s="2">
        <f t="shared" si="31"/>
        <v>2E-3</v>
      </c>
      <c r="F36" s="2">
        <v>6.8949999999999996</v>
      </c>
      <c r="G36" s="2">
        <v>3</v>
      </c>
      <c r="H36" s="3">
        <f t="shared" si="32"/>
        <v>67.8</v>
      </c>
      <c r="I36" s="3"/>
      <c r="J36" s="2"/>
      <c r="K36">
        <f t="shared" si="33"/>
        <v>9.8332124728063821</v>
      </c>
      <c r="L36" s="3"/>
      <c r="M36" s="2"/>
      <c r="N36">
        <v>3</v>
      </c>
      <c r="O36" s="6">
        <v>41.9</v>
      </c>
      <c r="P36" s="6">
        <v>1</v>
      </c>
      <c r="Q36" s="7">
        <f t="shared" si="25"/>
        <v>97.613365155131262</v>
      </c>
      <c r="R36" s="7"/>
      <c r="S36" s="7"/>
    </row>
    <row r="37" spans="1:19" x14ac:dyDescent="0.3">
      <c r="A37" t="s">
        <v>18</v>
      </c>
      <c r="N37" s="8" t="s">
        <v>18</v>
      </c>
      <c r="O37" s="8"/>
      <c r="P37" s="8"/>
      <c r="Q37" s="9" t="e">
        <f t="shared" si="25"/>
        <v>#DIV/0!</v>
      </c>
      <c r="R37" s="8"/>
      <c r="S37" s="8"/>
    </row>
    <row r="38" spans="1:19" x14ac:dyDescent="0.3">
      <c r="A38">
        <v>1</v>
      </c>
      <c r="B38" s="2">
        <v>6.72</v>
      </c>
      <c r="C38" s="2">
        <v>12.87</v>
      </c>
      <c r="D38" s="2">
        <f>(C38-B38)/1000</f>
        <v>6.1499999999999992E-3</v>
      </c>
      <c r="E38" s="2">
        <f>20/(100^2)</f>
        <v>2E-3</v>
      </c>
      <c r="F38" s="2">
        <v>6.8949999999999996</v>
      </c>
      <c r="G38" s="2">
        <v>3</v>
      </c>
      <c r="H38" s="3">
        <f>(D38/(E38*(G38/60)))</f>
        <v>61.499999999999986</v>
      </c>
      <c r="I38" s="3">
        <f>AVERAGE(H38:H40)</f>
        <v>65.233333333333334</v>
      </c>
      <c r="J38" s="2">
        <f>_xlfn.STDEV.P(H38:H40)</f>
        <v>2.8767265347188609</v>
      </c>
      <c r="K38">
        <f>H38/F38</f>
        <v>8.9195068890500355</v>
      </c>
      <c r="L38" s="3">
        <f>AVERAGE(K38:K40)</f>
        <v>9.4609620497945368</v>
      </c>
      <c r="M38" s="2">
        <f>_xlfn.STDEV.P(K38:K40)</f>
        <v>0.41721922185915311</v>
      </c>
      <c r="N38">
        <v>1</v>
      </c>
      <c r="O38" s="8">
        <v>41.7</v>
      </c>
      <c r="P38" s="8">
        <v>0.79</v>
      </c>
      <c r="Q38" s="9">
        <f t="shared" si="25"/>
        <v>98.105515587529979</v>
      </c>
      <c r="R38" s="9">
        <f>AVERAGE(Q38:Q39)</f>
        <v>98.705035971223026</v>
      </c>
      <c r="S38" s="9">
        <f>_xlfn.STDEV.P(Q38:Q39)</f>
        <v>0.59952038369304006</v>
      </c>
    </row>
    <row r="39" spans="1:19" x14ac:dyDescent="0.3">
      <c r="A39">
        <v>2</v>
      </c>
      <c r="B39" s="2">
        <v>6.7</v>
      </c>
      <c r="C39" s="2">
        <v>13.27</v>
      </c>
      <c r="D39" s="2">
        <f t="shared" ref="D39" si="34">(C39-B39)/1000</f>
        <v>6.5699999999999995E-3</v>
      </c>
      <c r="E39" s="2">
        <f t="shared" ref="E39:E40" si="35">20/(100^2)</f>
        <v>2E-3</v>
      </c>
      <c r="F39" s="2">
        <v>6.8949999999999996</v>
      </c>
      <c r="G39" s="2">
        <v>3</v>
      </c>
      <c r="H39" s="3">
        <f t="shared" ref="H39:H40" si="36">(D39/(E39*(G39/60)))</f>
        <v>65.699999999999989</v>
      </c>
      <c r="I39" s="3"/>
      <c r="J39" s="3"/>
      <c r="K39">
        <f t="shared" ref="K39:K40" si="37">H39/F39</f>
        <v>9.5286439448875981</v>
      </c>
      <c r="L39" s="3"/>
      <c r="M39" s="3"/>
      <c r="N39">
        <v>2</v>
      </c>
      <c r="O39" s="8">
        <v>41.7</v>
      </c>
      <c r="P39" s="8">
        <v>0.28999999999999998</v>
      </c>
      <c r="Q39" s="9">
        <f t="shared" si="25"/>
        <v>99.304556354916059</v>
      </c>
      <c r="R39" s="9"/>
      <c r="S39" s="9"/>
    </row>
    <row r="40" spans="1:19" x14ac:dyDescent="0.3">
      <c r="A40">
        <v>3</v>
      </c>
      <c r="B40" s="2">
        <v>6.72</v>
      </c>
      <c r="C40" s="2">
        <v>13.57</v>
      </c>
      <c r="D40" s="2">
        <f>(C40-B40)/1000</f>
        <v>6.8500000000000002E-3</v>
      </c>
      <c r="E40" s="2">
        <f t="shared" si="35"/>
        <v>2E-3</v>
      </c>
      <c r="F40" s="2">
        <v>6.8949999999999996</v>
      </c>
      <c r="G40" s="2">
        <v>3</v>
      </c>
      <c r="H40" s="3">
        <f t="shared" si="36"/>
        <v>68.5</v>
      </c>
      <c r="I40" s="3"/>
      <c r="J40" s="2"/>
      <c r="K40">
        <f t="shared" si="37"/>
        <v>9.9347353154459768</v>
      </c>
      <c r="L40" s="3"/>
      <c r="M40" s="2"/>
      <c r="N40">
        <v>3</v>
      </c>
      <c r="O40" s="8">
        <v>41.7</v>
      </c>
      <c r="P40" s="8">
        <v>0.59</v>
      </c>
      <c r="Q40" s="9">
        <f t="shared" si="25"/>
        <v>98.585131894484405</v>
      </c>
      <c r="R40" s="9"/>
      <c r="S40" s="9"/>
    </row>
    <row r="41" spans="1:19" x14ac:dyDescent="0.3">
      <c r="A41" t="s">
        <v>20</v>
      </c>
      <c r="N41" s="10" t="s">
        <v>20</v>
      </c>
      <c r="O41" s="10"/>
      <c r="P41" s="10"/>
      <c r="Q41" s="11" t="e">
        <f t="shared" si="25"/>
        <v>#DIV/0!</v>
      </c>
      <c r="R41" s="10"/>
      <c r="S41" s="10"/>
    </row>
    <row r="42" spans="1:19" x14ac:dyDescent="0.3">
      <c r="A42">
        <v>1</v>
      </c>
      <c r="B42" s="2">
        <v>6.64</v>
      </c>
      <c r="C42" s="2">
        <v>12.91</v>
      </c>
      <c r="D42" s="2">
        <f>(C42-B42)/1000</f>
        <v>6.2700000000000004E-3</v>
      </c>
      <c r="E42" s="2">
        <f>20/(100^2)</f>
        <v>2E-3</v>
      </c>
      <c r="F42" s="2">
        <v>6.8949999999999996</v>
      </c>
      <c r="G42" s="2">
        <v>3</v>
      </c>
      <c r="H42" s="3">
        <f>(D42/(E42*(G42/60)))</f>
        <v>62.7</v>
      </c>
      <c r="I42" s="3">
        <f>AVERAGE(H42:H44)</f>
        <v>66.133333333333326</v>
      </c>
      <c r="J42" s="2">
        <f>_xlfn.STDEV.P(H42:H44)</f>
        <v>2.5746628689769966</v>
      </c>
      <c r="K42">
        <f>H42/F42</f>
        <v>9.0935460478607695</v>
      </c>
      <c r="L42" s="3">
        <f>AVERAGE(K42:K44)</f>
        <v>9.5914914189025851</v>
      </c>
      <c r="M42" s="2">
        <f>_xlfn.STDEV.P(K42:K44)</f>
        <v>0.37341013328165296</v>
      </c>
      <c r="N42">
        <v>1</v>
      </c>
      <c r="O42" s="10">
        <v>41.3</v>
      </c>
      <c r="P42" s="10">
        <v>0.73</v>
      </c>
      <c r="Q42" s="11">
        <f t="shared" si="25"/>
        <v>98.232445520581123</v>
      </c>
      <c r="R42" s="11">
        <f>AVERAGE(Q42:Q43)</f>
        <v>98.825665859564168</v>
      </c>
      <c r="S42" s="11">
        <f>_xlfn.STDEV.P(Q42:Q43)</f>
        <v>0.59322033898303772</v>
      </c>
    </row>
    <row r="43" spans="1:19" x14ac:dyDescent="0.3">
      <c r="A43">
        <v>2</v>
      </c>
      <c r="B43" s="2">
        <v>6.74</v>
      </c>
      <c r="C43" s="2">
        <v>13.42</v>
      </c>
      <c r="D43" s="2">
        <f t="shared" ref="D43" si="38">(C43-B43)/1000</f>
        <v>6.6799999999999993E-3</v>
      </c>
      <c r="E43" s="2">
        <f t="shared" ref="E43:E44" si="39">20/(100^2)</f>
        <v>2E-3</v>
      </c>
      <c r="F43" s="2">
        <v>6.8949999999999996</v>
      </c>
      <c r="G43" s="2">
        <v>3</v>
      </c>
      <c r="H43" s="3">
        <f t="shared" ref="H43:H44" si="40">(D43/(E43*(G43/60)))</f>
        <v>66.799999999999983</v>
      </c>
      <c r="I43" s="3"/>
      <c r="J43" s="3"/>
      <c r="K43">
        <f t="shared" ref="K43:K44" si="41">H43/F43</f>
        <v>9.6881798404641017</v>
      </c>
      <c r="L43" s="3"/>
      <c r="M43" s="3"/>
      <c r="N43">
        <v>2</v>
      </c>
      <c r="O43" s="10">
        <v>41.3</v>
      </c>
      <c r="P43" s="10">
        <v>0.24</v>
      </c>
      <c r="Q43" s="11">
        <f t="shared" si="25"/>
        <v>99.418886198547199</v>
      </c>
      <c r="R43" s="11"/>
      <c r="S43" s="11"/>
    </row>
    <row r="44" spans="1:19" x14ac:dyDescent="0.3">
      <c r="A44">
        <v>3</v>
      </c>
      <c r="B44" s="2">
        <v>6.71</v>
      </c>
      <c r="C44" s="2">
        <v>13.6</v>
      </c>
      <c r="D44" s="2">
        <f>(C44-B44)/1000</f>
        <v>6.8899999999999994E-3</v>
      </c>
      <c r="E44" s="2">
        <f t="shared" si="39"/>
        <v>2E-3</v>
      </c>
      <c r="F44" s="2">
        <v>6.8949999999999996</v>
      </c>
      <c r="G44" s="2">
        <v>3</v>
      </c>
      <c r="H44" s="3">
        <f t="shared" si="40"/>
        <v>68.899999999999991</v>
      </c>
      <c r="I44" s="3"/>
      <c r="J44" s="2"/>
      <c r="K44">
        <f t="shared" si="41"/>
        <v>9.9927483683828857</v>
      </c>
      <c r="L44" s="3"/>
      <c r="M44" s="2"/>
      <c r="N44">
        <v>3</v>
      </c>
      <c r="O44" s="10">
        <v>41.3</v>
      </c>
      <c r="P44" s="10">
        <v>0.5</v>
      </c>
      <c r="Q44" s="11">
        <f t="shared" si="25"/>
        <v>98.789346246973366</v>
      </c>
      <c r="R44" s="11"/>
      <c r="S44" s="11"/>
    </row>
    <row r="45" spans="1:19" x14ac:dyDescent="0.3">
      <c r="A45" t="s">
        <v>21</v>
      </c>
      <c r="N45" s="12" t="s">
        <v>21</v>
      </c>
      <c r="O45" s="12"/>
      <c r="P45" s="12"/>
      <c r="Q45" s="13" t="e">
        <f t="shared" si="25"/>
        <v>#DIV/0!</v>
      </c>
      <c r="R45" s="12"/>
      <c r="S45" s="12"/>
    </row>
    <row r="46" spans="1:19" x14ac:dyDescent="0.3">
      <c r="A46">
        <v>1</v>
      </c>
      <c r="B46" s="2">
        <v>6.63</v>
      </c>
      <c r="C46" s="2">
        <v>12.97</v>
      </c>
      <c r="D46" s="2">
        <f>(C46-B46)/1000</f>
        <v>6.340000000000001E-3</v>
      </c>
      <c r="E46" s="2">
        <f>20/(100^2)</f>
        <v>2E-3</v>
      </c>
      <c r="F46" s="2">
        <v>6.8949999999999996</v>
      </c>
      <c r="G46" s="2">
        <v>3</v>
      </c>
      <c r="H46" s="3">
        <f>(D46/(E46*(G46/60)))</f>
        <v>63.400000000000006</v>
      </c>
      <c r="I46" s="3">
        <f>AVERAGE(H46:H48)</f>
        <v>67.3</v>
      </c>
      <c r="J46" s="2">
        <f>_xlfn.STDEV.P(H46:H48)</f>
        <v>2.8647280266487174</v>
      </c>
      <c r="K46">
        <f>H46/F46</f>
        <v>9.1950688905003641</v>
      </c>
      <c r="L46" s="3">
        <f>AVERAGE(K46:K48)</f>
        <v>9.7606961566352428</v>
      </c>
      <c r="M46" s="2">
        <f>_xlfn.STDEV.P(K46:K48)</f>
        <v>0.41547904664955976</v>
      </c>
      <c r="N46">
        <v>1</v>
      </c>
      <c r="O46" s="12">
        <v>40.799999999999997</v>
      </c>
      <c r="P46" s="12">
        <v>0.46</v>
      </c>
      <c r="Q46" s="13">
        <f t="shared" si="25"/>
        <v>98.872549019607845</v>
      </c>
      <c r="R46" s="13">
        <f>AVERAGE(Q46:Q47)</f>
        <v>99.178921568627459</v>
      </c>
      <c r="S46" s="13">
        <f>_xlfn.STDEV.P(Q46:Q47)</f>
        <v>0.30637254901960631</v>
      </c>
    </row>
    <row r="47" spans="1:19" x14ac:dyDescent="0.3">
      <c r="A47">
        <v>2</v>
      </c>
      <c r="B47" s="2">
        <v>6.68</v>
      </c>
      <c r="C47" s="2">
        <v>13.51</v>
      </c>
      <c r="D47" s="2">
        <f t="shared" ref="D47" si="42">(C47-B47)/1000</f>
        <v>6.8300000000000001E-3</v>
      </c>
      <c r="E47" s="2">
        <f t="shared" ref="E47:E48" si="43">20/(100^2)</f>
        <v>2E-3</v>
      </c>
      <c r="F47" s="2">
        <v>6.8949999999999996</v>
      </c>
      <c r="G47" s="2">
        <v>3</v>
      </c>
      <c r="H47" s="3">
        <f t="shared" ref="H47:H48" si="44">(D47/(E47*(G47/60)))</f>
        <v>68.3</v>
      </c>
      <c r="I47" s="3"/>
      <c r="J47" s="3"/>
      <c r="K47">
        <f t="shared" ref="K47:K48" si="45">H47/F47</f>
        <v>9.9057287889775196</v>
      </c>
      <c r="L47" s="3"/>
      <c r="M47" s="3"/>
      <c r="N47">
        <v>2</v>
      </c>
      <c r="O47" s="12">
        <v>40.799999999999997</v>
      </c>
      <c r="P47" s="12">
        <v>0.21</v>
      </c>
      <c r="Q47" s="13">
        <f t="shared" si="25"/>
        <v>99.485294117647058</v>
      </c>
      <c r="R47" s="13"/>
      <c r="S47" s="13"/>
    </row>
    <row r="48" spans="1:19" x14ac:dyDescent="0.3">
      <c r="A48">
        <v>3</v>
      </c>
      <c r="B48" s="2">
        <v>6.69</v>
      </c>
      <c r="C48" s="2">
        <v>13.71</v>
      </c>
      <c r="D48" s="2">
        <f>(C48-B48)/1000</f>
        <v>7.0200000000000002E-3</v>
      </c>
      <c r="E48" s="2">
        <f t="shared" si="43"/>
        <v>2E-3</v>
      </c>
      <c r="F48" s="2">
        <v>6.8949999999999996</v>
      </c>
      <c r="G48" s="2">
        <v>3</v>
      </c>
      <c r="H48" s="3">
        <f t="shared" si="44"/>
        <v>70.2</v>
      </c>
      <c r="I48" s="3"/>
      <c r="J48" s="2"/>
      <c r="K48">
        <f t="shared" si="45"/>
        <v>10.181290790427846</v>
      </c>
      <c r="L48" s="3"/>
      <c r="M48" s="2"/>
      <c r="N48">
        <v>3</v>
      </c>
      <c r="O48" s="12">
        <v>40.799999999999997</v>
      </c>
      <c r="P48" s="12">
        <v>0.44</v>
      </c>
      <c r="Q48" s="13">
        <f t="shared" si="25"/>
        <v>98.921568627450981</v>
      </c>
      <c r="R48" s="13"/>
      <c r="S48" s="13"/>
    </row>
    <row r="49" spans="1:19" x14ac:dyDescent="0.3">
      <c r="A49" t="s">
        <v>22</v>
      </c>
      <c r="N49" s="14" t="s">
        <v>22</v>
      </c>
      <c r="O49" s="14"/>
      <c r="P49" s="14"/>
      <c r="Q49" s="15" t="e">
        <f t="shared" si="25"/>
        <v>#DIV/0!</v>
      </c>
      <c r="R49" s="14"/>
      <c r="S49" s="14"/>
    </row>
    <row r="50" spans="1:19" x14ac:dyDescent="0.3">
      <c r="A50">
        <v>1</v>
      </c>
      <c r="B50" s="2">
        <v>6.64</v>
      </c>
      <c r="C50" s="2">
        <v>14.12</v>
      </c>
      <c r="D50" s="2">
        <f>(C50-B50)/1000</f>
        <v>7.4799999999999997E-3</v>
      </c>
      <c r="E50" s="2">
        <f>20/(100^2)</f>
        <v>2E-3</v>
      </c>
      <c r="F50" s="2">
        <v>6.8949999999999996</v>
      </c>
      <c r="G50" s="2">
        <v>3</v>
      </c>
      <c r="H50" s="3">
        <f>(D50/(E50*(G50/60)))</f>
        <v>74.8</v>
      </c>
      <c r="I50" s="3">
        <f>AVERAGE(H50:H52)</f>
        <v>79.166666666666671</v>
      </c>
      <c r="J50" s="2">
        <f>_xlfn.STDEV.P(H50:H52)</f>
        <v>3.2520079267362685</v>
      </c>
      <c r="K50">
        <f>H50/F50</f>
        <v>10.848440899202322</v>
      </c>
      <c r="L50" s="3">
        <f>AVERAGE(K50:K52)</f>
        <v>11.481750060430265</v>
      </c>
      <c r="M50" s="2">
        <f>_xlfn.STDEV.P(K50:K52)</f>
        <v>0.47164727001251144</v>
      </c>
      <c r="N50">
        <v>1</v>
      </c>
      <c r="O50" s="14">
        <v>40.299999999999997</v>
      </c>
      <c r="P50" s="14">
        <v>0.62</v>
      </c>
      <c r="Q50" s="15">
        <f t="shared" si="25"/>
        <v>98.461538461538467</v>
      </c>
      <c r="R50" s="15">
        <f>AVERAGE(Q50:Q51)</f>
        <v>98.982630272952861</v>
      </c>
      <c r="S50" s="15">
        <f>_xlfn.STDEV.P(Q50:Q51)</f>
        <v>0.52109181141438654</v>
      </c>
    </row>
    <row r="51" spans="1:19" x14ac:dyDescent="0.3">
      <c r="A51">
        <v>2</v>
      </c>
      <c r="B51" s="2">
        <v>6.64</v>
      </c>
      <c r="C51" s="2">
        <v>14.65</v>
      </c>
      <c r="D51" s="2">
        <f t="shared" ref="D51" si="46">(C51-B51)/1000</f>
        <v>8.0100000000000015E-3</v>
      </c>
      <c r="E51" s="2">
        <f t="shared" ref="E51:E52" si="47">20/(100^2)</f>
        <v>2E-3</v>
      </c>
      <c r="F51" s="2">
        <v>6.8949999999999996</v>
      </c>
      <c r="G51" s="2">
        <v>3</v>
      </c>
      <c r="H51" s="3">
        <f t="shared" ref="H51:H52" si="48">(D51/(E51*(G51/60)))</f>
        <v>80.100000000000009</v>
      </c>
      <c r="I51" s="3"/>
      <c r="J51" s="3"/>
      <c r="K51">
        <f t="shared" ref="K51:K52" si="49">H51/F51</f>
        <v>11.617113850616391</v>
      </c>
      <c r="L51" s="3"/>
      <c r="M51" s="3"/>
      <c r="N51">
        <v>2</v>
      </c>
      <c r="O51" s="14">
        <v>40.299999999999997</v>
      </c>
      <c r="P51" s="14">
        <v>0.2</v>
      </c>
      <c r="Q51" s="15">
        <f t="shared" si="25"/>
        <v>99.50372208436724</v>
      </c>
      <c r="R51" s="15"/>
      <c r="S51" s="15"/>
    </row>
    <row r="52" spans="1:19" x14ac:dyDescent="0.3">
      <c r="A52">
        <v>3</v>
      </c>
      <c r="B52" s="2">
        <v>6.69</v>
      </c>
      <c r="C52" s="2">
        <v>14.95</v>
      </c>
      <c r="D52" s="2">
        <f>(C52-B52)/1000</f>
        <v>8.2599999999999982E-3</v>
      </c>
      <c r="E52" s="2">
        <f t="shared" si="47"/>
        <v>2E-3</v>
      </c>
      <c r="F52" s="2">
        <v>6.8949999999999996</v>
      </c>
      <c r="G52" s="2">
        <v>3</v>
      </c>
      <c r="H52" s="3">
        <f t="shared" si="48"/>
        <v>82.59999999999998</v>
      </c>
      <c r="I52" s="3"/>
      <c r="J52" s="2"/>
      <c r="K52">
        <f t="shared" si="49"/>
        <v>11.979695431472079</v>
      </c>
      <c r="L52" s="3"/>
      <c r="M52" s="2"/>
      <c r="N52">
        <v>3</v>
      </c>
      <c r="O52" s="14">
        <v>40.299999999999997</v>
      </c>
      <c r="P52" s="14">
        <v>0.48</v>
      </c>
      <c r="Q52" s="15">
        <f t="shared" si="25"/>
        <v>98.808933002481396</v>
      </c>
      <c r="R52" s="15"/>
      <c r="S52" s="15"/>
    </row>
  </sheetData>
  <mergeCells count="4">
    <mergeCell ref="U1:Z1"/>
    <mergeCell ref="U2:W2"/>
    <mergeCell ref="X2:Z2"/>
    <mergeCell ref="B27:M2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14D17-4359-4EFC-B99C-0620CA91EC2C}">
  <dimension ref="B2:AD41"/>
  <sheetViews>
    <sheetView topLeftCell="A52" workbookViewId="0">
      <selection activeCell="B22" sqref="B22:J41"/>
    </sheetView>
  </sheetViews>
  <sheetFormatPr defaultRowHeight="14.4" x14ac:dyDescent="0.3"/>
  <cols>
    <col min="3" max="3" width="10" bestFit="1" customWidth="1"/>
    <col min="4" max="4" width="6.5546875" bestFit="1" customWidth="1"/>
    <col min="5" max="5" width="10" bestFit="1" customWidth="1"/>
    <col min="6" max="6" width="6.5546875" bestFit="1" customWidth="1"/>
    <col min="7" max="7" width="10" bestFit="1" customWidth="1"/>
    <col min="8" max="8" width="6.5546875" bestFit="1" customWidth="1"/>
    <col min="9" max="9" width="10" bestFit="1" customWidth="1"/>
    <col min="10" max="10" width="6.5546875" bestFit="1" customWidth="1"/>
  </cols>
  <sheetData>
    <row r="2" spans="2:30" x14ac:dyDescent="0.3">
      <c r="C2" s="50" t="s">
        <v>51</v>
      </c>
      <c r="D2" s="50"/>
      <c r="E2" s="50"/>
      <c r="F2" s="50"/>
      <c r="G2" s="50"/>
      <c r="H2" s="50"/>
      <c r="I2" s="50"/>
      <c r="J2" s="50"/>
    </row>
    <row r="3" spans="2:30" x14ac:dyDescent="0.3">
      <c r="C3" t="s">
        <v>46</v>
      </c>
      <c r="E3" t="s">
        <v>47</v>
      </c>
      <c r="G3" t="s">
        <v>48</v>
      </c>
      <c r="I3" t="s">
        <v>49</v>
      </c>
    </row>
    <row r="4" spans="2:30" x14ac:dyDescent="0.3">
      <c r="B4" t="s">
        <v>39</v>
      </c>
      <c r="C4" t="s">
        <v>50</v>
      </c>
      <c r="D4" t="s">
        <v>53</v>
      </c>
      <c r="E4" t="s">
        <v>50</v>
      </c>
      <c r="F4" t="s">
        <v>53</v>
      </c>
      <c r="G4" t="s">
        <v>50</v>
      </c>
      <c r="H4" t="s">
        <v>53</v>
      </c>
      <c r="I4" t="s">
        <v>50</v>
      </c>
      <c r="J4" t="s">
        <v>53</v>
      </c>
    </row>
    <row r="5" spans="2:30" x14ac:dyDescent="0.3">
      <c r="B5">
        <v>3.5</v>
      </c>
      <c r="C5">
        <v>3.3718838964943897E-2</v>
      </c>
      <c r="D5" s="18">
        <v>32.936507936507944</v>
      </c>
      <c r="E5" s="23">
        <v>8.9004088804873673E-3</v>
      </c>
      <c r="F5" s="18">
        <v>34.005037783375322</v>
      </c>
      <c r="G5" s="23">
        <v>3.2079850252065634E-3</v>
      </c>
      <c r="H5" s="18">
        <v>35.183044315992298</v>
      </c>
      <c r="I5" s="23">
        <v>2.5625917208400972E-3</v>
      </c>
      <c r="J5" s="18">
        <v>51.116838487972508</v>
      </c>
      <c r="L5" s="18"/>
      <c r="M5" s="18"/>
      <c r="N5" s="18"/>
      <c r="U5" t="s">
        <v>19</v>
      </c>
      <c r="V5" t="s">
        <v>18</v>
      </c>
      <c r="W5" t="s">
        <v>22</v>
      </c>
    </row>
    <row r="6" spans="2:30" x14ac:dyDescent="0.3">
      <c r="B6">
        <v>5</v>
      </c>
      <c r="C6">
        <v>9.7834832093407015E-2</v>
      </c>
      <c r="D6" s="18">
        <v>15.87982832618026</v>
      </c>
      <c r="E6">
        <v>6.7953329212019726E-3</v>
      </c>
      <c r="F6" s="18">
        <v>17.503217503217499</v>
      </c>
      <c r="G6">
        <v>4.3411953198249859E-3</v>
      </c>
      <c r="H6" s="18">
        <v>26.796998420221161</v>
      </c>
      <c r="I6">
        <v>4.5013946675283292E-3</v>
      </c>
      <c r="J6" s="18">
        <v>47.255880256593009</v>
      </c>
      <c r="L6" s="18"/>
      <c r="M6" s="18"/>
      <c r="N6" s="18"/>
      <c r="T6" t="s">
        <v>46</v>
      </c>
      <c r="U6" s="18">
        <v>15.87982832618026</v>
      </c>
      <c r="V6">
        <v>22.62017167381974</v>
      </c>
      <c r="W6">
        <v>50.400000000000006</v>
      </c>
      <c r="X6" s="18">
        <f>V6-U6</f>
        <v>6.740343347639481</v>
      </c>
      <c r="Y6">
        <f>W6-V6</f>
        <v>27.779828326180265</v>
      </c>
    </row>
    <row r="7" spans="2:30" x14ac:dyDescent="0.3">
      <c r="B7">
        <v>7</v>
      </c>
      <c r="C7">
        <v>0.1396693649916986</v>
      </c>
      <c r="D7" s="18">
        <v>38.49372384937238</v>
      </c>
      <c r="E7">
        <v>3.6063274986705036E-2</v>
      </c>
      <c r="F7" s="18">
        <v>36.609336609336616</v>
      </c>
      <c r="G7">
        <v>5.1994354694257011E-3</v>
      </c>
      <c r="H7" s="18">
        <v>48.951333740582378</v>
      </c>
      <c r="I7">
        <v>7.0386976542811883E-3</v>
      </c>
      <c r="J7" s="18">
        <v>60.545872179435207</v>
      </c>
      <c r="L7" s="18"/>
      <c r="M7" s="18"/>
      <c r="N7" s="18"/>
      <c r="T7" t="s">
        <v>31</v>
      </c>
      <c r="U7" s="18">
        <v>17.503217503217499</v>
      </c>
      <c r="V7">
        <v>19.096782496782502</v>
      </c>
      <c r="W7">
        <v>38.9</v>
      </c>
      <c r="X7" s="18">
        <f t="shared" ref="X7:X9" si="0">V7-U7</f>
        <v>1.5935649935650034</v>
      </c>
      <c r="Y7">
        <f>W7-V7</f>
        <v>19.803217503217496</v>
      </c>
    </row>
    <row r="8" spans="2:30" x14ac:dyDescent="0.3">
      <c r="B8">
        <v>9</v>
      </c>
      <c r="C8">
        <v>0.2024758653605955</v>
      </c>
      <c r="D8" s="18">
        <v>45.614035087719301</v>
      </c>
      <c r="E8">
        <v>0.10866993000346091</v>
      </c>
      <c r="F8" s="18">
        <v>54.888221554888219</v>
      </c>
      <c r="G8">
        <v>8.0116301343795077E-2</v>
      </c>
      <c r="H8" s="18">
        <v>65.731912507010648</v>
      </c>
      <c r="I8">
        <v>6.5350303670437038E-2</v>
      </c>
      <c r="J8" s="18">
        <v>68.501895072810697</v>
      </c>
      <c r="L8" s="18"/>
      <c r="M8" s="18"/>
      <c r="N8" s="18"/>
      <c r="T8" t="s">
        <v>30</v>
      </c>
      <c r="U8" s="18">
        <v>26.796998420221161</v>
      </c>
      <c r="V8">
        <v>22.203001579778839</v>
      </c>
      <c r="W8">
        <v>33</v>
      </c>
      <c r="X8" s="18">
        <f t="shared" si="0"/>
        <v>-4.5939968404423226</v>
      </c>
      <c r="Y8">
        <f>W8-V8</f>
        <v>10.796998420221161</v>
      </c>
    </row>
    <row r="9" spans="2:30" x14ac:dyDescent="0.3">
      <c r="B9">
        <v>10</v>
      </c>
      <c r="C9">
        <v>0.39571839836907546</v>
      </c>
      <c r="D9" s="18">
        <v>84.449339207048467</v>
      </c>
      <c r="E9">
        <v>0.29570777554382721</v>
      </c>
      <c r="F9" s="18">
        <v>72.13709013016971</v>
      </c>
      <c r="G9">
        <v>0.19917837413646147</v>
      </c>
      <c r="H9" s="18">
        <v>77.973568281938327</v>
      </c>
      <c r="I9">
        <v>0.14272961518837018</v>
      </c>
      <c r="J9" s="18">
        <v>81.208309510196287</v>
      </c>
      <c r="L9" s="18"/>
      <c r="M9" s="18"/>
      <c r="N9" s="18"/>
      <c r="T9" t="s">
        <v>29</v>
      </c>
      <c r="U9" s="18">
        <v>47.255880256593009</v>
      </c>
      <c r="V9">
        <v>13.244119743406991</v>
      </c>
      <c r="W9">
        <v>24.5</v>
      </c>
      <c r="X9" s="18">
        <f t="shared" si="0"/>
        <v>-34.011760513186019</v>
      </c>
      <c r="Y9">
        <f>W9-V9</f>
        <v>11.255880256593009</v>
      </c>
    </row>
    <row r="10" spans="2:30" x14ac:dyDescent="0.3">
      <c r="B10">
        <v>10.5</v>
      </c>
      <c r="C10">
        <v>0.33836326208724188</v>
      </c>
      <c r="D10" s="18">
        <v>88.864628820960689</v>
      </c>
      <c r="E10">
        <v>0.27838706282619829</v>
      </c>
      <c r="F10" s="18">
        <v>75.512195121951223</v>
      </c>
      <c r="G10">
        <v>0.25993844375673747</v>
      </c>
      <c r="H10" s="18">
        <v>81.960784313725483</v>
      </c>
      <c r="I10">
        <v>0.21666544408142444</v>
      </c>
      <c r="J10" s="18">
        <v>85.061254342658614</v>
      </c>
      <c r="L10" s="18"/>
      <c r="M10" s="18"/>
      <c r="N10" s="18"/>
    </row>
    <row r="11" spans="2:30" x14ac:dyDescent="0.3">
      <c r="U11" t="s">
        <v>18</v>
      </c>
      <c r="V11" t="s">
        <v>22</v>
      </c>
    </row>
    <row r="12" spans="2:30" x14ac:dyDescent="0.3">
      <c r="C12" s="50" t="s">
        <v>52</v>
      </c>
      <c r="D12" s="50"/>
      <c r="E12" s="50"/>
      <c r="F12" s="50"/>
      <c r="G12" s="50"/>
      <c r="H12" s="50"/>
      <c r="I12" s="50"/>
      <c r="J12" s="50"/>
      <c r="T12" t="s">
        <v>46</v>
      </c>
      <c r="U12">
        <v>0.16775999999999999</v>
      </c>
      <c r="V12">
        <v>0.35376999999999997</v>
      </c>
    </row>
    <row r="13" spans="2:30" x14ac:dyDescent="0.3">
      <c r="C13" t="s">
        <v>46</v>
      </c>
      <c r="E13" t="s">
        <v>47</v>
      </c>
      <c r="G13" t="s">
        <v>48</v>
      </c>
      <c r="I13" t="s">
        <v>49</v>
      </c>
      <c r="T13" t="s">
        <v>31</v>
      </c>
      <c r="U13">
        <v>3.0589999999999999E-2</v>
      </c>
      <c r="V13">
        <v>0.25086000000000003</v>
      </c>
    </row>
    <row r="14" spans="2:30" x14ac:dyDescent="0.3">
      <c r="B14" t="s">
        <v>39</v>
      </c>
      <c r="C14" t="s">
        <v>50</v>
      </c>
      <c r="D14" t="s">
        <v>53</v>
      </c>
      <c r="E14" t="s">
        <v>50</v>
      </c>
      <c r="F14" t="s">
        <v>53</v>
      </c>
      <c r="G14" t="s">
        <v>50</v>
      </c>
      <c r="H14" t="s">
        <v>53</v>
      </c>
      <c r="I14" t="s">
        <v>50</v>
      </c>
      <c r="J14" t="s">
        <v>53</v>
      </c>
      <c r="T14" t="s">
        <v>30</v>
      </c>
      <c r="U14">
        <v>5.7600000000000004E-3</v>
      </c>
      <c r="V14">
        <v>0.22653999999999999</v>
      </c>
    </row>
    <row r="15" spans="2:30" x14ac:dyDescent="0.3">
      <c r="B15">
        <v>3.5</v>
      </c>
      <c r="C15">
        <v>3.3718838964943897E-2</v>
      </c>
      <c r="D15" s="18">
        <v>26.589595375722546</v>
      </c>
      <c r="E15" s="23">
        <v>8.9004088804873673E-3</v>
      </c>
      <c r="F15" s="18">
        <v>27.352510970258418</v>
      </c>
      <c r="G15" s="23">
        <v>3.2079850252065634E-3</v>
      </c>
      <c r="H15" s="18">
        <v>37.287847929395802</v>
      </c>
      <c r="I15" s="23">
        <v>2.5625917208400972E-3</v>
      </c>
      <c r="J15" s="18">
        <v>63.624070317782277</v>
      </c>
      <c r="T15" t="s">
        <v>29</v>
      </c>
      <c r="U15">
        <v>7.4900000000000001E-3</v>
      </c>
      <c r="V15">
        <v>0.19250999999999999</v>
      </c>
      <c r="AA15" t="s">
        <v>54</v>
      </c>
      <c r="AB15" t="s">
        <v>19</v>
      </c>
      <c r="AC15" t="s">
        <v>18</v>
      </c>
      <c r="AD15" t="s">
        <v>22</v>
      </c>
    </row>
    <row r="16" spans="2:30" x14ac:dyDescent="0.3">
      <c r="B16">
        <v>5</v>
      </c>
      <c r="C16">
        <v>9.7834832093407015E-2</v>
      </c>
      <c r="D16" s="18">
        <v>12.499999999999993</v>
      </c>
      <c r="E16">
        <v>6.7953329212019726E-3</v>
      </c>
      <c r="F16" s="18">
        <v>7.8270388615216184</v>
      </c>
      <c r="G16">
        <v>4.3411953198249859E-3</v>
      </c>
      <c r="H16" s="18">
        <v>14.126330243734985</v>
      </c>
      <c r="I16">
        <v>4.5013946675283292E-3</v>
      </c>
      <c r="J16" s="18">
        <v>40.041493775933617</v>
      </c>
      <c r="S16" s="23"/>
      <c r="AA16">
        <v>12.1</v>
      </c>
      <c r="AB16" s="18">
        <v>15.87982832618026</v>
      </c>
      <c r="AC16">
        <v>38.5</v>
      </c>
      <c r="AD16">
        <v>88.9</v>
      </c>
    </row>
    <row r="17" spans="2:30" x14ac:dyDescent="0.3">
      <c r="B17">
        <v>7</v>
      </c>
      <c r="C17">
        <v>0.1396693649916986</v>
      </c>
      <c r="D17" s="18">
        <v>17.065868263473053</v>
      </c>
      <c r="E17">
        <v>3.6063274986705036E-2</v>
      </c>
      <c r="F17" s="18">
        <v>19.114219114219114</v>
      </c>
      <c r="G17">
        <v>5.1994354694257011E-3</v>
      </c>
      <c r="H17" s="18">
        <v>19.317394317394314</v>
      </c>
      <c r="I17">
        <v>7.0386976542811883E-3</v>
      </c>
      <c r="J17" s="18">
        <v>41.817554750819099</v>
      </c>
      <c r="S17" s="23"/>
      <c r="AA17">
        <v>21</v>
      </c>
      <c r="AB17" s="18">
        <v>17.503217503217499</v>
      </c>
      <c r="AC17">
        <v>36.6</v>
      </c>
      <c r="AD17">
        <v>75.5</v>
      </c>
    </row>
    <row r="18" spans="2:30" x14ac:dyDescent="0.3">
      <c r="B18">
        <v>9</v>
      </c>
      <c r="C18">
        <v>0.2024758653605955</v>
      </c>
      <c r="D18" s="18">
        <v>29.26136363636364</v>
      </c>
      <c r="E18">
        <v>0.10866993000346091</v>
      </c>
      <c r="F18" s="18">
        <v>38.238238238238239</v>
      </c>
      <c r="G18">
        <v>8.0116301343795077E-2</v>
      </c>
      <c r="H18" s="18">
        <v>39.690003483106928</v>
      </c>
      <c r="I18">
        <v>6.5350303670437038E-2</v>
      </c>
      <c r="J18" s="18">
        <v>55.927260250471782</v>
      </c>
      <c r="AA18">
        <v>60.1</v>
      </c>
      <c r="AB18" s="18">
        <v>26.796998420221161</v>
      </c>
      <c r="AC18">
        <v>49</v>
      </c>
      <c r="AD18">
        <v>82</v>
      </c>
    </row>
    <row r="19" spans="2:30" x14ac:dyDescent="0.3">
      <c r="B19">
        <v>10</v>
      </c>
      <c r="C19">
        <v>0.39571839836907546</v>
      </c>
      <c r="D19" s="18">
        <v>62.154696132596683</v>
      </c>
      <c r="E19">
        <v>0.29570777554382721</v>
      </c>
      <c r="F19" s="18">
        <v>45.243282498184463</v>
      </c>
      <c r="G19">
        <v>0.19917837413646147</v>
      </c>
      <c r="H19" s="18">
        <v>48.951670220326946</v>
      </c>
      <c r="I19">
        <v>0.14272961518837018</v>
      </c>
      <c r="J19" s="18">
        <v>70.88900766078747</v>
      </c>
      <c r="AA19">
        <v>113.5</v>
      </c>
      <c r="AB19" s="18">
        <v>47.255880256593009</v>
      </c>
      <c r="AC19">
        <v>60.5</v>
      </c>
      <c r="AD19">
        <v>85</v>
      </c>
    </row>
    <row r="20" spans="2:30" x14ac:dyDescent="0.3">
      <c r="B20">
        <v>10.5</v>
      </c>
      <c r="C20">
        <v>0.33836326208724188</v>
      </c>
      <c r="D20" s="18">
        <v>63.783783783783782</v>
      </c>
      <c r="E20">
        <v>0.27838706282619829</v>
      </c>
      <c r="F20" s="18">
        <v>47.727272727272727</v>
      </c>
      <c r="G20">
        <v>0.25993844375673747</v>
      </c>
      <c r="H20" s="18">
        <v>57.727108215707567</v>
      </c>
      <c r="I20">
        <v>0.21666544408142444</v>
      </c>
      <c r="J20" s="18">
        <v>77.516839614054263</v>
      </c>
    </row>
    <row r="21" spans="2:30" x14ac:dyDescent="0.3">
      <c r="AA21" t="s">
        <v>54</v>
      </c>
      <c r="AB21" t="s">
        <v>19</v>
      </c>
      <c r="AC21" t="s">
        <v>18</v>
      </c>
      <c r="AD21" t="s">
        <v>22</v>
      </c>
    </row>
    <row r="22" spans="2:30" x14ac:dyDescent="0.3">
      <c r="C22" s="50" t="s">
        <v>51</v>
      </c>
      <c r="D22" s="50"/>
      <c r="E22" s="50"/>
      <c r="F22" s="50"/>
      <c r="G22" s="50"/>
      <c r="H22" s="50"/>
      <c r="I22" s="50"/>
      <c r="J22" s="50"/>
      <c r="AA22">
        <v>12.1</v>
      </c>
      <c r="AB22" s="18">
        <v>15.87982832618026</v>
      </c>
      <c r="AC22" s="18">
        <f>AC16-AB16</f>
        <v>22.62017167381974</v>
      </c>
      <c r="AD22" s="18">
        <f>AD16-AC16</f>
        <v>50.400000000000006</v>
      </c>
    </row>
    <row r="23" spans="2:30" x14ac:dyDescent="0.3">
      <c r="C23" t="s">
        <v>46</v>
      </c>
      <c r="E23" t="s">
        <v>47</v>
      </c>
      <c r="G23" t="s">
        <v>48</v>
      </c>
      <c r="I23" t="s">
        <v>49</v>
      </c>
      <c r="AA23">
        <v>21</v>
      </c>
      <c r="AB23" s="18">
        <v>17.503217503217499</v>
      </c>
      <c r="AC23" s="18">
        <f t="shared" ref="AC23:AD25" si="1">AC17-AB17</f>
        <v>19.096782496782502</v>
      </c>
      <c r="AD23" s="18">
        <f t="shared" si="1"/>
        <v>38.9</v>
      </c>
    </row>
    <row r="24" spans="2:30" x14ac:dyDescent="0.3">
      <c r="B24" t="s">
        <v>39</v>
      </c>
      <c r="C24" t="s">
        <v>50</v>
      </c>
      <c r="D24" t="s">
        <v>53</v>
      </c>
      <c r="E24" t="s">
        <v>50</v>
      </c>
      <c r="F24" t="s">
        <v>53</v>
      </c>
      <c r="G24" t="s">
        <v>50</v>
      </c>
      <c r="H24" t="s">
        <v>53</v>
      </c>
      <c r="I24" t="s">
        <v>50</v>
      </c>
      <c r="J24" t="s">
        <v>53</v>
      </c>
      <c r="AA24">
        <v>60.1</v>
      </c>
      <c r="AB24" s="18">
        <v>26.796998420221161</v>
      </c>
      <c r="AC24" s="18">
        <f t="shared" si="1"/>
        <v>22.203001579778839</v>
      </c>
      <c r="AD24" s="18">
        <f t="shared" si="1"/>
        <v>33</v>
      </c>
    </row>
    <row r="25" spans="2:30" x14ac:dyDescent="0.3">
      <c r="B25">
        <v>3.5</v>
      </c>
      <c r="C25">
        <v>0</v>
      </c>
      <c r="D25" s="18">
        <v>32.936507936507944</v>
      </c>
      <c r="E25">
        <v>0</v>
      </c>
      <c r="F25" s="18">
        <v>34.005037783375322</v>
      </c>
      <c r="G25">
        <v>0</v>
      </c>
      <c r="H25" s="18">
        <v>35.183044315992298</v>
      </c>
      <c r="I25">
        <v>0</v>
      </c>
      <c r="J25" s="18">
        <v>51.116838487972508</v>
      </c>
      <c r="AA25">
        <v>113.5</v>
      </c>
      <c r="AB25" s="18">
        <v>47.255880256593009</v>
      </c>
      <c r="AC25" s="18">
        <f t="shared" si="1"/>
        <v>13.244119743406991</v>
      </c>
      <c r="AD25" s="18">
        <f t="shared" si="1"/>
        <v>24.5</v>
      </c>
    </row>
    <row r="26" spans="2:30" x14ac:dyDescent="0.3">
      <c r="B26">
        <v>5</v>
      </c>
      <c r="C26">
        <v>0</v>
      </c>
      <c r="D26" s="18">
        <v>15.87982832618026</v>
      </c>
      <c r="E26">
        <v>0</v>
      </c>
      <c r="F26" s="18">
        <v>17.503217503217499</v>
      </c>
      <c r="G26">
        <v>0</v>
      </c>
      <c r="H26" s="18">
        <v>26.796998420221161</v>
      </c>
      <c r="I26">
        <v>0</v>
      </c>
      <c r="J26" s="18">
        <v>47.255880256593009</v>
      </c>
      <c r="AB26" s="18"/>
      <c r="AC26" s="18"/>
      <c r="AD26" s="18"/>
    </row>
    <row r="27" spans="2:30" x14ac:dyDescent="0.3">
      <c r="B27">
        <v>7</v>
      </c>
      <c r="C27">
        <v>0</v>
      </c>
      <c r="D27">
        <f t="shared" ref="D27:J27" si="2">D7-D$31</f>
        <v>0</v>
      </c>
      <c r="E27">
        <v>0</v>
      </c>
      <c r="F27">
        <f t="shared" si="2"/>
        <v>0</v>
      </c>
      <c r="G27">
        <v>0</v>
      </c>
      <c r="H27">
        <f t="shared" si="2"/>
        <v>0</v>
      </c>
      <c r="I27">
        <v>0</v>
      </c>
      <c r="J27">
        <f t="shared" si="2"/>
        <v>0</v>
      </c>
    </row>
    <row r="28" spans="2:30" x14ac:dyDescent="0.3">
      <c r="B28">
        <v>9</v>
      </c>
      <c r="C28">
        <f>C8-C$31</f>
        <v>6.28065003688969E-2</v>
      </c>
      <c r="D28" s="18">
        <f>D8-D$31</f>
        <v>7.1203112383469218</v>
      </c>
      <c r="E28">
        <f t="shared" ref="C28:E30" si="3">E8-E$31</f>
        <v>7.2606655016755867E-2</v>
      </c>
      <c r="F28">
        <f t="shared" ref="F28" si="4">F8-F$31</f>
        <v>18.278884945551603</v>
      </c>
      <c r="G28">
        <f t="shared" ref="G28:H28" si="5">G8-G$31</f>
        <v>7.4916865874369382E-2</v>
      </c>
      <c r="H28">
        <f t="shared" si="5"/>
        <v>16.78057876642827</v>
      </c>
      <c r="I28">
        <f t="shared" ref="I28:J28" si="6">I8-I$31</f>
        <v>5.8311606016155849E-2</v>
      </c>
      <c r="J28">
        <f t="shared" si="6"/>
        <v>7.95602289337549</v>
      </c>
      <c r="AA28" t="s">
        <v>54</v>
      </c>
      <c r="AB28" t="s">
        <v>19</v>
      </c>
      <c r="AC28" t="s">
        <v>18</v>
      </c>
      <c r="AD28" t="s">
        <v>22</v>
      </c>
    </row>
    <row r="29" spans="2:30" x14ac:dyDescent="0.3">
      <c r="B29">
        <v>10</v>
      </c>
      <c r="C29">
        <f t="shared" si="3"/>
        <v>0.25604903337737683</v>
      </c>
      <c r="D29" s="18">
        <f>D9-D$31</f>
        <v>45.955615357676088</v>
      </c>
      <c r="E29">
        <f t="shared" si="3"/>
        <v>0.25964450055712218</v>
      </c>
      <c r="F29">
        <f t="shared" ref="F29" si="7">F9-F$31</f>
        <v>35.527753520833095</v>
      </c>
      <c r="G29">
        <f t="shared" ref="G29:H29" si="8">G9-G$31</f>
        <v>0.19397893866703578</v>
      </c>
      <c r="H29">
        <f t="shared" si="8"/>
        <v>29.022234541355949</v>
      </c>
      <c r="I29">
        <f t="shared" ref="I29:J29" si="9">I9-I$31</f>
        <v>0.13569091753408899</v>
      </c>
      <c r="J29">
        <f t="shared" si="9"/>
        <v>20.66243733076108</v>
      </c>
      <c r="AA29">
        <v>21</v>
      </c>
      <c r="AB29">
        <f t="shared" ref="AB29:AB31" si="10">100*AB23/AD17</f>
        <v>23.18306954068543</v>
      </c>
      <c r="AC29">
        <f t="shared" ref="AC29:AC31" si="11">100*AC23/AD17</f>
        <v>25.293751651367554</v>
      </c>
      <c r="AD29" s="18">
        <f t="shared" ref="AD29:AD31" si="12">100*AD23/AD17</f>
        <v>51.523178807947019</v>
      </c>
    </row>
    <row r="30" spans="2:30" x14ac:dyDescent="0.3">
      <c r="B30">
        <v>10.5</v>
      </c>
      <c r="C30">
        <f t="shared" si="3"/>
        <v>0.19869389709554328</v>
      </c>
      <c r="D30">
        <f t="shared" si="3"/>
        <v>50.37090497158831</v>
      </c>
      <c r="E30">
        <f t="shared" si="3"/>
        <v>0.24232378783949327</v>
      </c>
      <c r="F30">
        <f t="shared" ref="F30" si="13">F10-F$31</f>
        <v>38.902858512614607</v>
      </c>
      <c r="G30">
        <f t="shared" ref="G30:H30" si="14">G10-G$31</f>
        <v>0.25473900828731177</v>
      </c>
      <c r="H30">
        <f t="shared" si="14"/>
        <v>33.009450573143106</v>
      </c>
      <c r="I30">
        <f t="shared" ref="I30:J30" si="15">I10-I$31</f>
        <v>0.20962674642714324</v>
      </c>
      <c r="J30">
        <f t="shared" si="15"/>
        <v>24.515382163223407</v>
      </c>
      <c r="AA30">
        <v>60.1</v>
      </c>
      <c r="AB30">
        <f t="shared" si="10"/>
        <v>32.679266366123365</v>
      </c>
      <c r="AC30">
        <f t="shared" si="11"/>
        <v>27.076831194852243</v>
      </c>
      <c r="AD30" s="18">
        <f t="shared" si="12"/>
        <v>40.243902439024389</v>
      </c>
    </row>
    <row r="31" spans="2:30" x14ac:dyDescent="0.3">
      <c r="B31" t="s">
        <v>57</v>
      </c>
      <c r="C31">
        <v>0.1396693649916986</v>
      </c>
      <c r="D31" s="18">
        <v>38.49372384937238</v>
      </c>
      <c r="E31">
        <v>3.6063274986705036E-2</v>
      </c>
      <c r="F31" s="18">
        <v>36.609336609336616</v>
      </c>
      <c r="G31">
        <v>5.1994354694257011E-3</v>
      </c>
      <c r="H31" s="18">
        <v>48.951333740582378</v>
      </c>
      <c r="I31">
        <v>7.0386976542811883E-3</v>
      </c>
      <c r="J31" s="18">
        <v>60.545872179435207</v>
      </c>
      <c r="AA31">
        <v>113.5</v>
      </c>
      <c r="AB31">
        <f t="shared" si="10"/>
        <v>55.595153243050596</v>
      </c>
      <c r="AC31">
        <f t="shared" si="11"/>
        <v>15.581317345184695</v>
      </c>
      <c r="AD31" s="18">
        <f t="shared" si="12"/>
        <v>28.823529411764707</v>
      </c>
    </row>
    <row r="32" spans="2:30" x14ac:dyDescent="0.3">
      <c r="C32" s="50" t="s">
        <v>52</v>
      </c>
      <c r="D32" s="50"/>
      <c r="E32" s="50"/>
      <c r="F32" s="50"/>
      <c r="G32" s="50"/>
      <c r="H32" s="50"/>
      <c r="I32" s="50"/>
      <c r="J32" s="50"/>
    </row>
    <row r="33" spans="2:10" x14ac:dyDescent="0.3">
      <c r="C33" t="s">
        <v>46</v>
      </c>
      <c r="E33" t="s">
        <v>47</v>
      </c>
      <c r="G33" t="s">
        <v>48</v>
      </c>
      <c r="I33" t="s">
        <v>49</v>
      </c>
    </row>
    <row r="34" spans="2:10" x14ac:dyDescent="0.3">
      <c r="B34" t="s">
        <v>39</v>
      </c>
      <c r="C34" t="s">
        <v>50</v>
      </c>
      <c r="D34" t="s">
        <v>53</v>
      </c>
      <c r="E34" t="s">
        <v>50</v>
      </c>
      <c r="F34" t="s">
        <v>53</v>
      </c>
      <c r="G34" t="s">
        <v>50</v>
      </c>
      <c r="H34" t="s">
        <v>53</v>
      </c>
      <c r="I34" t="s">
        <v>50</v>
      </c>
      <c r="J34" t="s">
        <v>53</v>
      </c>
    </row>
    <row r="35" spans="2:10" x14ac:dyDescent="0.3">
      <c r="B35">
        <v>3.5</v>
      </c>
      <c r="C35">
        <v>1.048E-2</v>
      </c>
      <c r="D35" s="18">
        <v>26.589595375722546</v>
      </c>
      <c r="E35" s="23">
        <v>7.5500000000000003E-3</v>
      </c>
      <c r="F35" s="18">
        <v>27.352510970258418</v>
      </c>
      <c r="G35" s="23">
        <v>9.8926100000000001E-5</v>
      </c>
      <c r="H35" s="18">
        <v>37.287847929395802</v>
      </c>
      <c r="I35" s="23">
        <v>6.4485900000000001E-4</v>
      </c>
      <c r="J35" s="18">
        <v>63.624070317782277</v>
      </c>
    </row>
    <row r="36" spans="2:10" x14ac:dyDescent="0.3">
      <c r="B36">
        <v>5</v>
      </c>
      <c r="C36">
        <v>0.11378000000000001</v>
      </c>
      <c r="D36" s="18">
        <v>12.499999999999993</v>
      </c>
      <c r="E36">
        <v>5.7600000000000004E-3</v>
      </c>
      <c r="F36" s="18">
        <v>7.8270388615216184</v>
      </c>
      <c r="G36">
        <v>1.9400000000000001E-3</v>
      </c>
      <c r="H36" s="18">
        <v>14.126330243734985</v>
      </c>
      <c r="I36">
        <v>5.2900000000000004E-3</v>
      </c>
      <c r="J36" s="18">
        <v>40.041493775933617</v>
      </c>
    </row>
    <row r="37" spans="2:10" x14ac:dyDescent="0.3">
      <c r="B37">
        <v>7</v>
      </c>
      <c r="C37">
        <v>0</v>
      </c>
      <c r="D37">
        <f t="shared" ref="D37:J37" si="16">D17-D$41</f>
        <v>0</v>
      </c>
      <c r="E37">
        <f t="shared" si="16"/>
        <v>0</v>
      </c>
      <c r="F37">
        <f t="shared" si="16"/>
        <v>0</v>
      </c>
      <c r="G37">
        <f t="shared" si="16"/>
        <v>0</v>
      </c>
      <c r="H37">
        <f t="shared" si="16"/>
        <v>0</v>
      </c>
      <c r="I37">
        <f t="shared" si="16"/>
        <v>0</v>
      </c>
      <c r="J37">
        <f t="shared" si="16"/>
        <v>0</v>
      </c>
    </row>
    <row r="38" spans="2:10" x14ac:dyDescent="0.3">
      <c r="B38">
        <v>9</v>
      </c>
      <c r="C38">
        <f t="shared" ref="C38:J38" si="17">C18-C$41</f>
        <v>6.28065003688969E-2</v>
      </c>
      <c r="D38">
        <f t="shared" si="17"/>
        <v>12.195495372890587</v>
      </c>
      <c r="E38">
        <f t="shared" si="17"/>
        <v>7.2606655016755867E-2</v>
      </c>
      <c r="F38">
        <f t="shared" si="17"/>
        <v>19.124019124019124</v>
      </c>
      <c r="G38">
        <f t="shared" si="17"/>
        <v>7.4916865874369382E-2</v>
      </c>
      <c r="H38">
        <f t="shared" si="17"/>
        <v>20.372609165712614</v>
      </c>
      <c r="I38">
        <f t="shared" si="17"/>
        <v>5.8311606016155849E-2</v>
      </c>
      <c r="J38">
        <f t="shared" si="17"/>
        <v>14.109705499652684</v>
      </c>
    </row>
    <row r="39" spans="2:10" x14ac:dyDescent="0.3">
      <c r="B39">
        <v>10</v>
      </c>
      <c r="C39">
        <f t="shared" ref="C39:J39" si="18">C19-C$41</f>
        <v>0.25604903337737683</v>
      </c>
      <c r="D39" s="18">
        <f>D19-D$41</f>
        <v>45.088827869123634</v>
      </c>
      <c r="E39">
        <f t="shared" si="18"/>
        <v>0.25964450055712218</v>
      </c>
      <c r="F39">
        <f t="shared" si="18"/>
        <v>26.129063383965349</v>
      </c>
      <c r="G39">
        <f t="shared" si="18"/>
        <v>0.19397893866703578</v>
      </c>
      <c r="H39">
        <f t="shared" si="18"/>
        <v>29.634275902932632</v>
      </c>
      <c r="I39">
        <f t="shared" si="18"/>
        <v>0.13569091753408899</v>
      </c>
      <c r="J39">
        <f t="shared" si="18"/>
        <v>29.071452909968372</v>
      </c>
    </row>
    <row r="40" spans="2:10" x14ac:dyDescent="0.3">
      <c r="B40">
        <v>10.5</v>
      </c>
      <c r="C40">
        <f t="shared" ref="C40:J40" si="19">C20-C$41</f>
        <v>0.19869389709554328</v>
      </c>
      <c r="D40">
        <f t="shared" si="19"/>
        <v>46.717915520310726</v>
      </c>
      <c r="E40">
        <f t="shared" si="19"/>
        <v>0.24232378783949327</v>
      </c>
      <c r="F40">
        <f t="shared" si="19"/>
        <v>28.613053613053612</v>
      </c>
      <c r="G40">
        <f t="shared" si="19"/>
        <v>0.25473900828731177</v>
      </c>
      <c r="H40">
        <f t="shared" si="19"/>
        <v>38.409713898313257</v>
      </c>
      <c r="I40">
        <f t="shared" si="19"/>
        <v>0.20962674642714324</v>
      </c>
      <c r="J40">
        <f t="shared" si="19"/>
        <v>35.699284863235164</v>
      </c>
    </row>
    <row r="41" spans="2:10" x14ac:dyDescent="0.3">
      <c r="B41" t="s">
        <v>57</v>
      </c>
      <c r="C41">
        <v>0.1396693649916986</v>
      </c>
      <c r="D41" s="18">
        <v>17.065868263473053</v>
      </c>
      <c r="E41">
        <v>3.6063274986705036E-2</v>
      </c>
      <c r="F41" s="18">
        <v>19.114219114219114</v>
      </c>
      <c r="G41">
        <v>5.1994354694257011E-3</v>
      </c>
      <c r="H41" s="18">
        <v>19.317394317394314</v>
      </c>
      <c r="I41">
        <v>7.0386976542811883E-3</v>
      </c>
      <c r="J41" s="18">
        <v>41.817554750819099</v>
      </c>
    </row>
  </sheetData>
  <mergeCells count="4">
    <mergeCell ref="C2:J2"/>
    <mergeCell ref="C12:J12"/>
    <mergeCell ref="C22:J22"/>
    <mergeCell ref="C32:J3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78E4A-AD9E-4706-B914-B81FD1461651}">
  <dimension ref="A1:AG60"/>
  <sheetViews>
    <sheetView topLeftCell="G37" workbookViewId="0">
      <selection activeCell="Y8" sqref="Y8:Y11"/>
    </sheetView>
  </sheetViews>
  <sheetFormatPr defaultRowHeight="14.4" x14ac:dyDescent="0.3"/>
  <sheetData>
    <row r="1" spans="1:31" x14ac:dyDescent="0.3">
      <c r="A1" t="s">
        <v>77</v>
      </c>
    </row>
    <row r="3" spans="1:31" ht="15" thickBot="1" x14ac:dyDescent="0.35">
      <c r="B3" t="s">
        <v>51</v>
      </c>
    </row>
    <row r="4" spans="1:31" x14ac:dyDescent="0.3">
      <c r="B4" s="26" t="s">
        <v>46</v>
      </c>
      <c r="C4" s="27"/>
      <c r="D4" s="27"/>
      <c r="E4" s="27"/>
      <c r="F4" s="27"/>
      <c r="G4" s="27"/>
      <c r="H4" s="27"/>
      <c r="I4" s="27"/>
      <c r="J4" s="28"/>
      <c r="K4" s="26" t="s">
        <v>47</v>
      </c>
      <c r="L4" s="27"/>
      <c r="M4" s="27"/>
      <c r="N4" s="27"/>
      <c r="O4" s="27"/>
      <c r="P4" s="27"/>
      <c r="Q4" s="28"/>
      <c r="R4" s="26" t="s">
        <v>48</v>
      </c>
      <c r="S4" s="27"/>
      <c r="T4" s="27"/>
      <c r="U4" s="27"/>
      <c r="V4" s="27"/>
      <c r="W4" s="27"/>
      <c r="X4" s="28"/>
      <c r="Y4" s="26" t="s">
        <v>49</v>
      </c>
      <c r="Z4" s="27"/>
      <c r="AA4" s="27"/>
      <c r="AB4" s="27"/>
      <c r="AC4" s="27"/>
      <c r="AD4" s="27"/>
      <c r="AE4" s="28"/>
    </row>
    <row r="5" spans="1:31" x14ac:dyDescent="0.3">
      <c r="A5" t="s">
        <v>39</v>
      </c>
      <c r="B5" s="29" t="s">
        <v>50</v>
      </c>
      <c r="C5" s="30" t="s">
        <v>53</v>
      </c>
      <c r="D5" s="36" t="s">
        <v>69</v>
      </c>
      <c r="E5" s="30" t="s">
        <v>65</v>
      </c>
      <c r="F5" s="30" t="s">
        <v>66</v>
      </c>
      <c r="G5" s="36" t="s">
        <v>70</v>
      </c>
      <c r="H5" s="30" t="s">
        <v>68</v>
      </c>
      <c r="I5" s="30" t="s">
        <v>67</v>
      </c>
      <c r="J5" s="31" t="s">
        <v>68</v>
      </c>
      <c r="K5" s="29" t="s">
        <v>50</v>
      </c>
      <c r="L5" s="30" t="s">
        <v>53</v>
      </c>
      <c r="M5" s="30" t="s">
        <v>65</v>
      </c>
      <c r="N5" s="30" t="s">
        <v>66</v>
      </c>
      <c r="O5" s="30" t="s">
        <v>68</v>
      </c>
      <c r="P5" s="30" t="s">
        <v>67</v>
      </c>
      <c r="Q5" s="31" t="s">
        <v>68</v>
      </c>
      <c r="R5" s="29" t="s">
        <v>50</v>
      </c>
      <c r="S5" s="30" t="s">
        <v>53</v>
      </c>
      <c r="T5" s="30" t="s">
        <v>65</v>
      </c>
      <c r="U5" s="30" t="s">
        <v>66</v>
      </c>
      <c r="V5" s="30" t="s">
        <v>68</v>
      </c>
      <c r="W5" s="30" t="s">
        <v>67</v>
      </c>
      <c r="X5" s="31" t="s">
        <v>68</v>
      </c>
      <c r="Y5" s="29" t="s">
        <v>50</v>
      </c>
      <c r="Z5" s="30" t="s">
        <v>53</v>
      </c>
      <c r="AA5" s="30" t="s">
        <v>65</v>
      </c>
      <c r="AB5" s="30" t="s">
        <v>66</v>
      </c>
      <c r="AC5" s="30" t="s">
        <v>68</v>
      </c>
      <c r="AD5" s="30" t="s">
        <v>67</v>
      </c>
      <c r="AE5" s="31" t="s">
        <v>68</v>
      </c>
    </row>
    <row r="6" spans="1:31" x14ac:dyDescent="0.3">
      <c r="A6">
        <v>3.5</v>
      </c>
      <c r="B6" s="29">
        <v>0</v>
      </c>
      <c r="C6" s="30">
        <v>32.936507936507944</v>
      </c>
      <c r="D6" s="18">
        <v>0</v>
      </c>
      <c r="E6" s="30">
        <v>10</v>
      </c>
      <c r="F6" s="30"/>
      <c r="G6" s="30"/>
      <c r="H6" s="30"/>
      <c r="I6" s="30"/>
      <c r="J6" s="31"/>
      <c r="K6" s="29">
        <v>0</v>
      </c>
      <c r="L6" s="32">
        <v>34.005037783375322</v>
      </c>
      <c r="M6" s="30">
        <v>10</v>
      </c>
      <c r="N6" s="30"/>
      <c r="O6" s="30"/>
      <c r="P6" s="30"/>
      <c r="Q6" s="31"/>
      <c r="R6" s="29">
        <v>0</v>
      </c>
      <c r="S6" s="32">
        <v>35.183044315992298</v>
      </c>
      <c r="T6" s="30">
        <v>10</v>
      </c>
      <c r="U6" s="30"/>
      <c r="V6" s="30"/>
      <c r="W6" s="30"/>
      <c r="X6" s="31"/>
      <c r="Y6" s="29">
        <v>0</v>
      </c>
      <c r="Z6" s="32">
        <v>51.116838487972508</v>
      </c>
      <c r="AA6" s="30">
        <v>10</v>
      </c>
      <c r="AB6" s="30"/>
      <c r="AC6" s="30"/>
      <c r="AD6" s="30"/>
      <c r="AE6" s="31"/>
    </row>
    <row r="7" spans="1:31" x14ac:dyDescent="0.3">
      <c r="A7">
        <v>5</v>
      </c>
      <c r="B7" s="29">
        <v>0</v>
      </c>
      <c r="C7" s="30">
        <v>15.87982832618026</v>
      </c>
      <c r="D7" s="18">
        <v>0.42918454935622119</v>
      </c>
      <c r="E7" s="30">
        <v>10</v>
      </c>
      <c r="F7" s="30"/>
      <c r="G7" s="30"/>
      <c r="H7" s="30"/>
      <c r="I7" s="30"/>
      <c r="J7" s="31"/>
      <c r="K7" s="29">
        <v>0</v>
      </c>
      <c r="L7" s="32">
        <v>17.503217503217499</v>
      </c>
      <c r="M7" s="30">
        <v>10</v>
      </c>
      <c r="N7" s="30"/>
      <c r="O7" s="30"/>
      <c r="P7" s="30"/>
      <c r="Q7" s="31"/>
      <c r="R7" s="29">
        <v>0</v>
      </c>
      <c r="S7" s="32">
        <v>26.796998420221161</v>
      </c>
      <c r="T7" s="30">
        <v>10</v>
      </c>
      <c r="U7" s="30"/>
      <c r="V7" s="30"/>
      <c r="W7" s="30"/>
      <c r="X7" s="31"/>
      <c r="Y7" s="29">
        <v>0</v>
      </c>
      <c r="Z7" s="32">
        <v>47.255880256593009</v>
      </c>
      <c r="AA7" s="30">
        <v>10</v>
      </c>
      <c r="AB7" s="30"/>
      <c r="AC7" s="30"/>
      <c r="AD7" s="30"/>
      <c r="AE7" s="31"/>
    </row>
    <row r="8" spans="1:31" x14ac:dyDescent="0.3">
      <c r="A8">
        <v>7</v>
      </c>
      <c r="B8" s="29">
        <v>0</v>
      </c>
      <c r="C8" s="30">
        <v>38.49372384937238</v>
      </c>
      <c r="D8" s="18">
        <v>1.0041841004184064</v>
      </c>
      <c r="E8" s="30">
        <v>10</v>
      </c>
      <c r="F8" s="30">
        <f>((100-C8)/100)*E8*0.002</f>
        <v>1.2301255230125525E-2</v>
      </c>
      <c r="G8" s="30">
        <f>((100-D8)/100)*E8*0.002</f>
        <v>1.979916317991632E-2</v>
      </c>
      <c r="H8" s="30">
        <f>F8/$B$12</f>
        <v>1</v>
      </c>
      <c r="I8" s="30">
        <f>E8/F8</f>
        <v>812.92517006802711</v>
      </c>
      <c r="J8" s="31">
        <f>I8/$I$8</f>
        <v>1</v>
      </c>
      <c r="K8" s="29">
        <v>0</v>
      </c>
      <c r="L8" s="32">
        <v>36.609336609336616</v>
      </c>
      <c r="M8" s="30">
        <v>10</v>
      </c>
      <c r="N8" s="30">
        <f>((100-L8)/100)*M8*0.002</f>
        <v>1.2678132678132677E-2</v>
      </c>
      <c r="O8" s="30">
        <f>N8/$K$12</f>
        <v>1</v>
      </c>
      <c r="P8" s="30">
        <f>M8/N8</f>
        <v>788.75968992248067</v>
      </c>
      <c r="Q8" s="31">
        <f>P8/$P$8</f>
        <v>1</v>
      </c>
      <c r="R8" s="29">
        <v>0</v>
      </c>
      <c r="S8" s="32">
        <v>48.951333740582378</v>
      </c>
      <c r="T8" s="30">
        <v>10</v>
      </c>
      <c r="U8" s="30">
        <f>((100-S8)/100)*T8*0.002</f>
        <v>1.0209733251883525E-2</v>
      </c>
      <c r="V8" s="30">
        <f>U8/$R$12</f>
        <v>1</v>
      </c>
      <c r="W8" s="30">
        <f t="shared" ref="W8:W11" si="0">T8/U8</f>
        <v>979.45751894694877</v>
      </c>
      <c r="X8" s="31">
        <f>W8/$W$8</f>
        <v>1</v>
      </c>
      <c r="Y8" s="29">
        <v>0</v>
      </c>
      <c r="Z8" s="32">
        <v>60.545872179435207</v>
      </c>
      <c r="AA8" s="30">
        <v>10</v>
      </c>
      <c r="AB8" s="30">
        <f>((100-Z8)/100)*AA8*0.002</f>
        <v>7.8908255641129584E-3</v>
      </c>
      <c r="AC8" s="30">
        <f>AB8/$Y$12</f>
        <v>1</v>
      </c>
      <c r="AD8" s="30">
        <f t="shared" ref="AD8:AD11" si="1">AA8/AB8</f>
        <v>1267.294520547945</v>
      </c>
      <c r="AE8" s="31">
        <f>AD8/$AD$8</f>
        <v>1</v>
      </c>
    </row>
    <row r="9" spans="1:31" x14ac:dyDescent="0.3">
      <c r="A9">
        <v>9</v>
      </c>
      <c r="B9" s="29">
        <v>6.28065003688969E-2</v>
      </c>
      <c r="C9" s="30">
        <v>45.614035087719301</v>
      </c>
      <c r="D9" s="18">
        <v>0.87719298245614041</v>
      </c>
      <c r="E9" s="30">
        <v>10</v>
      </c>
      <c r="F9" s="30">
        <f t="shared" ref="F9:F11" si="2">((100-C9)/100)*E9*0.002</f>
        <v>1.0877192982456138E-2</v>
      </c>
      <c r="G9" s="30">
        <f t="shared" ref="G9:G11" si="3">((100-D9)/100)*E9*0.002</f>
        <v>1.9824561403508776E-2</v>
      </c>
      <c r="H9" s="30">
        <f>F9/$B$12</f>
        <v>0.88423439551259064</v>
      </c>
      <c r="I9" s="30">
        <f>E9/F9</f>
        <v>919.35483870967767</v>
      </c>
      <c r="J9" s="31">
        <f t="shared" ref="J9:J11" si="4">I9/$I$8</f>
        <v>1.1309218518018631</v>
      </c>
      <c r="K9" s="29">
        <v>7.2606655016755867E-2</v>
      </c>
      <c r="L9" s="32">
        <v>54.888221554888219</v>
      </c>
      <c r="M9" s="30">
        <v>10</v>
      </c>
      <c r="N9" s="30">
        <f>((100-L9)/100)*M9*0.002</f>
        <v>9.0223556890223575E-3</v>
      </c>
      <c r="O9" s="30">
        <f t="shared" ref="O9:O11" si="5">N9/$K$12</f>
        <v>0.71164704756436048</v>
      </c>
      <c r="P9" s="30">
        <f>M9/N9</f>
        <v>1108.3579881656804</v>
      </c>
      <c r="Q9" s="31">
        <f t="shared" ref="Q9:Q11" si="6">P9/$P$8</f>
        <v>1.4051909628832704</v>
      </c>
      <c r="R9" s="29">
        <v>7.4916865874369382E-2</v>
      </c>
      <c r="S9" s="32">
        <v>65.731912507010648</v>
      </c>
      <c r="T9" s="30">
        <v>10</v>
      </c>
      <c r="U9" s="30">
        <f t="shared" ref="U9:U11" si="7">((100-S9)/100)*T9*0.002</f>
        <v>6.8536174985978707E-3</v>
      </c>
      <c r="V9" s="30">
        <f t="shared" ref="V9:V11" si="8">U9/$R$12</f>
        <v>0.67128271909880632</v>
      </c>
      <c r="W9" s="30">
        <f t="shared" si="0"/>
        <v>1459.0834697217672</v>
      </c>
      <c r="X9" s="31">
        <f t="shared" ref="X9:X11" si="9">W9/$W$8</f>
        <v>1.4896853018091913</v>
      </c>
      <c r="Y9" s="29">
        <v>5.8311606016155849E-2</v>
      </c>
      <c r="Z9" s="32">
        <v>68.501895072810697</v>
      </c>
      <c r="AA9" s="30">
        <v>10</v>
      </c>
      <c r="AB9" s="30">
        <f t="shared" ref="AB9:AB11" si="10">((100-Z9)/100)*AA9*0.002</f>
        <v>6.2996209854378604E-3</v>
      </c>
      <c r="AC9" s="30">
        <f t="shared" ref="AC9:AC11" si="11">AB9/$Y$12</f>
        <v>0.79834751563742468</v>
      </c>
      <c r="AD9" s="30">
        <f t="shared" si="1"/>
        <v>1587.397086763775</v>
      </c>
      <c r="AE9" s="31">
        <f t="shared" ref="AE9:AE11" si="12">AD9/$AD$8</f>
        <v>1.2525873512634031</v>
      </c>
    </row>
    <row r="10" spans="1:31" x14ac:dyDescent="0.3">
      <c r="A10">
        <v>10</v>
      </c>
      <c r="B10" s="29">
        <v>0.25604903337737683</v>
      </c>
      <c r="C10" s="30">
        <v>84.449339207048467</v>
      </c>
      <c r="D10" s="18">
        <v>0.26431718061673593</v>
      </c>
      <c r="E10" s="30">
        <v>10</v>
      </c>
      <c r="F10" s="30">
        <f t="shared" si="2"/>
        <v>3.1101321585903065E-3</v>
      </c>
      <c r="G10" s="30">
        <f t="shared" si="3"/>
        <v>1.9947136563876654E-2</v>
      </c>
      <c r="H10" s="30">
        <f t="shared" ref="H10:H11" si="13">F10/$B$12</f>
        <v>0.25283047139560649</v>
      </c>
      <c r="I10" s="30">
        <f>E10/F10</f>
        <v>3215.297450424931</v>
      </c>
      <c r="J10" s="31">
        <f t="shared" si="4"/>
        <v>3.9552194578448945</v>
      </c>
      <c r="K10" s="29">
        <v>0.25964450055712218</v>
      </c>
      <c r="L10" s="32">
        <v>72.13709013016971</v>
      </c>
      <c r="M10" s="30">
        <v>10</v>
      </c>
      <c r="N10" s="30">
        <f>((100-L10)/100)*M10*0.002</f>
        <v>5.572581973966058E-3</v>
      </c>
      <c r="O10" s="30">
        <f t="shared" si="5"/>
        <v>0.43954280298530735</v>
      </c>
      <c r="P10" s="30">
        <f t="shared" ref="P10:P11" si="14">M10/N10</f>
        <v>1794.5002956830274</v>
      </c>
      <c r="Q10" s="31">
        <f t="shared" si="6"/>
        <v>2.2750912839617743</v>
      </c>
      <c r="R10" s="29">
        <v>0.19397893866703578</v>
      </c>
      <c r="S10" s="32">
        <v>77.973568281938327</v>
      </c>
      <c r="T10" s="30">
        <v>10</v>
      </c>
      <c r="U10" s="30">
        <f t="shared" si="7"/>
        <v>4.4052863436123343E-3</v>
      </c>
      <c r="V10" s="30">
        <f t="shared" si="8"/>
        <v>0.43147908323654127</v>
      </c>
      <c r="W10" s="30">
        <f t="shared" si="0"/>
        <v>2270.0000000000005</v>
      </c>
      <c r="X10" s="31">
        <f t="shared" si="9"/>
        <v>2.3176094481775604</v>
      </c>
      <c r="Y10" s="29">
        <v>0.13569091753408899</v>
      </c>
      <c r="Z10" s="32">
        <v>81.208309510196287</v>
      </c>
      <c r="AA10" s="30">
        <v>10</v>
      </c>
      <c r="AB10" s="30">
        <f t="shared" si="10"/>
        <v>3.7583380979607428E-3</v>
      </c>
      <c r="AC10" s="30">
        <f t="shared" si="11"/>
        <v>0.47629212779122354</v>
      </c>
      <c r="AD10" s="30">
        <f t="shared" si="1"/>
        <v>2660.7505070993893</v>
      </c>
      <c r="AE10" s="31">
        <f t="shared" si="12"/>
        <v>2.0995518121146381</v>
      </c>
    </row>
    <row r="11" spans="1:31" x14ac:dyDescent="0.3">
      <c r="A11">
        <v>10.5</v>
      </c>
      <c r="B11" s="29">
        <v>0.19869389709554328</v>
      </c>
      <c r="C11" s="30">
        <v>88.864628820960689</v>
      </c>
      <c r="D11" s="18">
        <v>0.5676855895196482</v>
      </c>
      <c r="E11" s="30">
        <v>10</v>
      </c>
      <c r="F11" s="30">
        <f t="shared" si="2"/>
        <v>2.2270742358078623E-3</v>
      </c>
      <c r="G11" s="30">
        <f t="shared" si="3"/>
        <v>1.9886462882096074E-2</v>
      </c>
      <c r="H11" s="30">
        <f t="shared" si="13"/>
        <v>0.18104447018982278</v>
      </c>
      <c r="I11" s="30">
        <f>E11/F11</f>
        <v>4490.1960784313687</v>
      </c>
      <c r="J11" s="31">
        <f t="shared" si="4"/>
        <v>5.5235047994092996</v>
      </c>
      <c r="K11" s="29">
        <v>0.24232378783949327</v>
      </c>
      <c r="L11" s="32">
        <v>75.512195121951223</v>
      </c>
      <c r="M11" s="30">
        <v>10</v>
      </c>
      <c r="N11" s="30">
        <f>((100-L11)/100)*M11*0.002</f>
        <v>4.8975609756097549E-3</v>
      </c>
      <c r="O11" s="30">
        <f t="shared" si="5"/>
        <v>0.38629986764983926</v>
      </c>
      <c r="P11" s="30">
        <f t="shared" si="14"/>
        <v>2041.8326693227098</v>
      </c>
      <c r="Q11" s="31">
        <f t="shared" si="6"/>
        <v>2.5886625488219122</v>
      </c>
      <c r="R11" s="29">
        <v>0.25473900828731177</v>
      </c>
      <c r="S11" s="32">
        <v>81.960784313725483</v>
      </c>
      <c r="T11" s="30">
        <v>10</v>
      </c>
      <c r="U11" s="30">
        <f t="shared" si="7"/>
        <v>3.6078431372549035E-3</v>
      </c>
      <c r="V11" s="30">
        <f t="shared" si="8"/>
        <v>0.35337290879654637</v>
      </c>
      <c r="W11" s="30">
        <f t="shared" si="0"/>
        <v>2771.7391304347816</v>
      </c>
      <c r="X11" s="31">
        <f t="shared" si="9"/>
        <v>2.8298717165546714</v>
      </c>
      <c r="Y11" s="29">
        <v>0.20962674642714324</v>
      </c>
      <c r="Z11" s="32">
        <v>85.061254342658614</v>
      </c>
      <c r="AA11" s="30">
        <v>10</v>
      </c>
      <c r="AB11" s="30">
        <f t="shared" si="10"/>
        <v>2.9877491314682773E-3</v>
      </c>
      <c r="AC11" s="30">
        <f t="shared" si="11"/>
        <v>0.37863581030816301</v>
      </c>
      <c r="AD11" s="30">
        <f t="shared" si="1"/>
        <v>3347.0012239902062</v>
      </c>
      <c r="AE11" s="31">
        <f t="shared" si="12"/>
        <v>2.6410602821379281</v>
      </c>
    </row>
    <row r="12" spans="1:31" ht="15" thickBot="1" x14ac:dyDescent="0.35">
      <c r="A12" t="s">
        <v>57</v>
      </c>
      <c r="B12" s="29">
        <f>F8</f>
        <v>1.2301255230125525E-2</v>
      </c>
      <c r="C12" s="30"/>
      <c r="D12" s="30"/>
      <c r="E12" s="30"/>
      <c r="F12" s="30"/>
      <c r="G12" s="30"/>
      <c r="H12" s="30"/>
      <c r="I12" s="30"/>
      <c r="J12" s="31" t="s">
        <v>57</v>
      </c>
      <c r="K12" s="29">
        <f>N8</f>
        <v>1.2678132678132677E-2</v>
      </c>
      <c r="L12" s="30"/>
      <c r="M12" s="30"/>
      <c r="N12" s="30"/>
      <c r="O12" s="30"/>
      <c r="P12" s="30"/>
      <c r="Q12" s="35" t="s">
        <v>57</v>
      </c>
      <c r="R12" s="29">
        <f>U8</f>
        <v>1.0209733251883525E-2</v>
      </c>
      <c r="S12" s="30"/>
      <c r="T12" s="30"/>
      <c r="U12" s="30"/>
      <c r="V12" s="30"/>
      <c r="W12" s="30"/>
      <c r="X12" s="31" t="s">
        <v>57</v>
      </c>
      <c r="Y12" s="29">
        <f>AB8</f>
        <v>7.8908255641129584E-3</v>
      </c>
      <c r="Z12" s="30"/>
      <c r="AA12" s="30"/>
      <c r="AB12" s="30"/>
      <c r="AC12" s="30"/>
      <c r="AD12" s="30"/>
      <c r="AE12" s="31"/>
    </row>
    <row r="13" spans="1:31" x14ac:dyDescent="0.3">
      <c r="B13" s="29" t="s">
        <v>52</v>
      </c>
      <c r="C13" s="30"/>
      <c r="D13" s="30"/>
      <c r="E13" s="30"/>
      <c r="F13" s="30"/>
      <c r="G13" s="30"/>
      <c r="H13" s="30"/>
      <c r="I13" s="30"/>
      <c r="J13" s="31"/>
      <c r="K13" s="29"/>
      <c r="L13" s="30"/>
      <c r="M13" s="30"/>
      <c r="N13" s="30"/>
      <c r="O13" s="30"/>
      <c r="P13" s="30"/>
      <c r="Q13" s="31"/>
      <c r="R13" s="29"/>
      <c r="S13" s="30"/>
      <c r="T13" s="30"/>
      <c r="U13" s="30"/>
      <c r="V13" s="30"/>
      <c r="W13" s="30"/>
      <c r="X13" s="31"/>
      <c r="Y13" s="29"/>
      <c r="Z13" s="30"/>
      <c r="AA13" s="30"/>
      <c r="AB13" s="30"/>
      <c r="AC13" s="30"/>
      <c r="AD13" s="30"/>
      <c r="AE13" s="31"/>
    </row>
    <row r="14" spans="1:31" x14ac:dyDescent="0.3">
      <c r="B14" s="29" t="s">
        <v>46</v>
      </c>
      <c r="C14" s="30"/>
      <c r="D14" s="30"/>
      <c r="E14" s="30"/>
      <c r="F14" s="30"/>
      <c r="G14" s="30"/>
      <c r="H14" s="30"/>
      <c r="I14" s="30"/>
      <c r="J14" s="31"/>
      <c r="K14" s="29" t="s">
        <v>47</v>
      </c>
      <c r="L14" s="30"/>
      <c r="M14" s="30"/>
      <c r="N14" s="30"/>
      <c r="O14" s="30"/>
      <c r="P14" s="30"/>
      <c r="Q14" s="31"/>
      <c r="R14" s="29" t="s">
        <v>48</v>
      </c>
      <c r="S14" s="30"/>
      <c r="T14" s="30"/>
      <c r="U14" s="30"/>
      <c r="V14" s="30"/>
      <c r="W14" s="30"/>
      <c r="X14" s="31"/>
      <c r="Y14" s="29" t="s">
        <v>49</v>
      </c>
      <c r="Z14" s="30"/>
      <c r="AA14" s="30"/>
      <c r="AB14" s="30"/>
      <c r="AC14" s="30"/>
      <c r="AD14" s="30"/>
      <c r="AE14" s="31"/>
    </row>
    <row r="15" spans="1:31" x14ac:dyDescent="0.3">
      <c r="A15" t="s">
        <v>39</v>
      </c>
      <c r="B15" s="29" t="s">
        <v>50</v>
      </c>
      <c r="C15" s="30" t="s">
        <v>53</v>
      </c>
      <c r="D15" s="36" t="s">
        <v>69</v>
      </c>
      <c r="E15" s="30" t="s">
        <v>65</v>
      </c>
      <c r="F15" s="30" t="s">
        <v>66</v>
      </c>
      <c r="G15" s="36" t="s">
        <v>70</v>
      </c>
      <c r="H15" s="30" t="s">
        <v>68</v>
      </c>
      <c r="I15" s="30" t="s">
        <v>67</v>
      </c>
      <c r="J15" s="31" t="s">
        <v>68</v>
      </c>
      <c r="K15" s="29" t="s">
        <v>50</v>
      </c>
      <c r="L15" s="30" t="s">
        <v>53</v>
      </c>
      <c r="M15" s="30" t="s">
        <v>65</v>
      </c>
      <c r="N15" s="30" t="s">
        <v>66</v>
      </c>
      <c r="O15" s="30" t="s">
        <v>68</v>
      </c>
      <c r="P15" s="30" t="s">
        <v>67</v>
      </c>
      <c r="Q15" s="31" t="s">
        <v>68</v>
      </c>
      <c r="R15" s="29" t="s">
        <v>50</v>
      </c>
      <c r="S15" s="30" t="s">
        <v>53</v>
      </c>
      <c r="T15" s="30" t="s">
        <v>65</v>
      </c>
      <c r="U15" s="30" t="s">
        <v>66</v>
      </c>
      <c r="V15" s="30" t="s">
        <v>68</v>
      </c>
      <c r="W15" s="30" t="s">
        <v>67</v>
      </c>
      <c r="X15" s="31" t="s">
        <v>68</v>
      </c>
      <c r="Y15" s="29" t="s">
        <v>50</v>
      </c>
      <c r="Z15" s="30" t="s">
        <v>53</v>
      </c>
      <c r="AA15" s="30" t="s">
        <v>65</v>
      </c>
      <c r="AB15" s="30" t="s">
        <v>66</v>
      </c>
      <c r="AC15" s="30" t="s">
        <v>68</v>
      </c>
      <c r="AD15" s="30" t="s">
        <v>67</v>
      </c>
      <c r="AE15" s="31" t="s">
        <v>68</v>
      </c>
    </row>
    <row r="16" spans="1:31" x14ac:dyDescent="0.3">
      <c r="A16">
        <v>3.5</v>
      </c>
      <c r="B16" s="29">
        <v>1.048E-2</v>
      </c>
      <c r="C16" s="32">
        <v>26.589595375722546</v>
      </c>
      <c r="D16" s="18">
        <v>3.4682080924855399</v>
      </c>
      <c r="E16" s="30">
        <v>10</v>
      </c>
      <c r="F16" s="30"/>
      <c r="G16" s="30"/>
      <c r="H16" s="30"/>
      <c r="I16" s="30"/>
      <c r="J16" s="31"/>
      <c r="K16" s="29">
        <v>7.5500000000000003E-3</v>
      </c>
      <c r="L16" s="32">
        <v>27.352510970258418</v>
      </c>
      <c r="M16" s="30">
        <v>10</v>
      </c>
      <c r="N16" s="30"/>
      <c r="O16" s="30"/>
      <c r="P16" s="30"/>
      <c r="Q16" s="31"/>
      <c r="R16" s="29">
        <v>9.8926100000000001E-5</v>
      </c>
      <c r="S16" s="32">
        <v>37.287847929395802</v>
      </c>
      <c r="T16" s="30">
        <v>10</v>
      </c>
      <c r="U16" s="30"/>
      <c r="V16" s="30"/>
      <c r="W16" s="30"/>
      <c r="X16" s="31"/>
      <c r="Y16" s="29">
        <v>6.4485900000000001E-4</v>
      </c>
      <c r="Z16" s="32">
        <v>63.624070317782277</v>
      </c>
      <c r="AA16" s="30">
        <v>10</v>
      </c>
      <c r="AB16" s="30"/>
      <c r="AC16" s="30"/>
      <c r="AD16" s="30"/>
      <c r="AE16" s="31"/>
    </row>
    <row r="17" spans="1:31" x14ac:dyDescent="0.3">
      <c r="A17">
        <v>5</v>
      </c>
      <c r="B17" s="29">
        <v>0.11378000000000001</v>
      </c>
      <c r="C17" s="32">
        <v>12.499999999999993</v>
      </c>
      <c r="D17" s="18">
        <v>1.4534883720930183</v>
      </c>
      <c r="E17" s="30">
        <v>10</v>
      </c>
      <c r="F17" s="30"/>
      <c r="G17" s="30"/>
      <c r="H17" s="30"/>
      <c r="I17" s="30"/>
      <c r="J17" s="31"/>
      <c r="K17" s="29">
        <v>5.7600000000000004E-3</v>
      </c>
      <c r="L17" s="32">
        <v>7.8270388615216184</v>
      </c>
      <c r="M17" s="30">
        <v>10</v>
      </c>
      <c r="N17" s="30"/>
      <c r="O17" s="30"/>
      <c r="P17" s="30"/>
      <c r="Q17" s="31"/>
      <c r="R17" s="29">
        <v>1.9400000000000001E-3</v>
      </c>
      <c r="S17" s="32">
        <v>14.126330243734985</v>
      </c>
      <c r="T17" s="30">
        <v>10</v>
      </c>
      <c r="U17" s="30"/>
      <c r="V17" s="30"/>
      <c r="W17" s="30"/>
      <c r="X17" s="31"/>
      <c r="Y17" s="29">
        <v>5.2900000000000004E-3</v>
      </c>
      <c r="Z17" s="32">
        <v>40.041493775933617</v>
      </c>
      <c r="AA17" s="30">
        <v>10</v>
      </c>
      <c r="AB17" s="30"/>
      <c r="AC17" s="30"/>
      <c r="AD17" s="30"/>
      <c r="AE17" s="31"/>
    </row>
    <row r="18" spans="1:31" x14ac:dyDescent="0.3">
      <c r="A18">
        <v>7</v>
      </c>
      <c r="B18" s="29">
        <v>0</v>
      </c>
      <c r="C18" s="32">
        <v>17.065868263473053</v>
      </c>
      <c r="D18" s="18">
        <v>3.8922155688622677</v>
      </c>
      <c r="E18" s="30">
        <v>10</v>
      </c>
      <c r="F18" s="30">
        <f>((100-C18)/100)*E18*0.02</f>
        <v>0.16586826347305392</v>
      </c>
      <c r="G18" s="30">
        <f>((100-D18)/100)*E18*0.02</f>
        <v>0.19221556886227548</v>
      </c>
      <c r="H18" s="30">
        <f>F18/$B$22</f>
        <v>1</v>
      </c>
      <c r="I18" s="30">
        <f>E18/F18</f>
        <v>60.288808664259918</v>
      </c>
      <c r="J18" s="31">
        <f>I18/$I$18</f>
        <v>1</v>
      </c>
      <c r="K18" s="29">
        <v>0</v>
      </c>
      <c r="L18" s="32">
        <v>19.114219114219114</v>
      </c>
      <c r="M18" s="30">
        <v>10</v>
      </c>
      <c r="N18" s="30">
        <f>((100-L18)/100)*M18*0.02</f>
        <v>0.16177156177156179</v>
      </c>
      <c r="O18" s="30">
        <f>N18/$K$22</f>
        <v>1</v>
      </c>
      <c r="P18" s="30">
        <f t="shared" ref="P18:P21" si="15">M18/N18</f>
        <v>61.815561959654168</v>
      </c>
      <c r="Q18" s="31">
        <f>P18/$P$18</f>
        <v>1</v>
      </c>
      <c r="R18" s="29">
        <v>0</v>
      </c>
      <c r="S18" s="32">
        <v>19.317394317394314</v>
      </c>
      <c r="T18" s="30">
        <v>10</v>
      </c>
      <c r="U18" s="30">
        <f>((100-S18)/100)*T18*0.02</f>
        <v>0.16136521136521137</v>
      </c>
      <c r="V18" s="30">
        <f>U18/$R$22</f>
        <v>1</v>
      </c>
      <c r="W18" s="30">
        <f t="shared" ref="W18:W21" si="16">T18/U18</f>
        <v>61.971226111230408</v>
      </c>
      <c r="X18" s="31">
        <f>W18/$W$18</f>
        <v>1</v>
      </c>
      <c r="Y18" s="29">
        <v>0</v>
      </c>
      <c r="Z18" s="32">
        <v>41.817554750819099</v>
      </c>
      <c r="AA18" s="30">
        <v>10</v>
      </c>
      <c r="AB18" s="30">
        <f>((100-Z18)/100)*AA18*0.02</f>
        <v>0.11636489049836181</v>
      </c>
      <c r="AC18" s="30">
        <f>AB18/$Y$22</f>
        <v>1</v>
      </c>
      <c r="AD18" s="30">
        <f t="shared" ref="AD18:AD21" si="17">AA18/AB18</f>
        <v>85.936573799644322</v>
      </c>
      <c r="AE18" s="31">
        <f>AD18/$AD$18</f>
        <v>1</v>
      </c>
    </row>
    <row r="19" spans="1:31" x14ac:dyDescent="0.3">
      <c r="A19">
        <v>9</v>
      </c>
      <c r="B19" s="29">
        <v>6.28065003688969E-2</v>
      </c>
      <c r="C19" s="32">
        <v>29.26136363636364</v>
      </c>
      <c r="D19" s="18">
        <v>2.7963680038320873</v>
      </c>
      <c r="E19" s="30">
        <v>10</v>
      </c>
      <c r="F19" s="30">
        <f t="shared" ref="F19:F21" si="18">((100-C19)/100)*E19*0.02</f>
        <v>0.14147727272727273</v>
      </c>
      <c r="G19" s="30">
        <f t="shared" ref="G19:G21" si="19">((100-D19)/100)*E19*0.02</f>
        <v>0.19440726399233582</v>
      </c>
      <c r="H19" s="30">
        <f>F19/$B$22</f>
        <v>0.8529496225795864</v>
      </c>
      <c r="I19" s="30">
        <f>E19/F19</f>
        <v>70.682730923694777</v>
      </c>
      <c r="J19" s="31">
        <f t="shared" ref="J19:J21" si="20">I19/$I$18</f>
        <v>1.1724021835846381</v>
      </c>
      <c r="K19" s="29">
        <v>7.2606655016755867E-2</v>
      </c>
      <c r="L19" s="32">
        <v>38.238238238238239</v>
      </c>
      <c r="M19" s="30">
        <v>10</v>
      </c>
      <c r="N19" s="30">
        <f t="shared" ref="N19:N21" si="21">((100-L19)/100)*M19*0.02</f>
        <v>0.12352352352352351</v>
      </c>
      <c r="O19" s="30">
        <f t="shared" ref="O19:O21" si="22">N19/$K$22</f>
        <v>0.76356760218431674</v>
      </c>
      <c r="P19" s="30">
        <f t="shared" si="15"/>
        <v>80.956239870340369</v>
      </c>
      <c r="Q19" s="31">
        <f t="shared" ref="Q19:Q21" si="23">P19/$P$18</f>
        <v>1.3096417358978141</v>
      </c>
      <c r="R19" s="29">
        <v>7.4916865874369382E-2</v>
      </c>
      <c r="S19" s="32">
        <v>39.690003483106928</v>
      </c>
      <c r="T19" s="30">
        <v>10</v>
      </c>
      <c r="U19" s="30">
        <f t="shared" ref="U19:U21" si="24">((100-S19)/100)*T19*0.02</f>
        <v>0.12061999303378615</v>
      </c>
      <c r="V19" s="30">
        <f t="shared" ref="V19:V21" si="25">U19/$R$22</f>
        <v>0.74749688618317978</v>
      </c>
      <c r="W19" s="30">
        <f t="shared" si="16"/>
        <v>82.904995668495516</v>
      </c>
      <c r="X19" s="31">
        <f t="shared" ref="X19:X21" si="26">W19/$W$18</f>
        <v>1.3377982149278711</v>
      </c>
      <c r="Y19" s="29">
        <v>5.8311606016155849E-2</v>
      </c>
      <c r="Z19" s="32">
        <v>55.927260250471782</v>
      </c>
      <c r="AA19" s="30">
        <v>10</v>
      </c>
      <c r="AB19" s="30">
        <f t="shared" ref="AB19:AB21" si="27">((100-Z19)/100)*AA19*0.02</f>
        <v>8.8145479499056434E-2</v>
      </c>
      <c r="AC19" s="30">
        <f t="shared" ref="AC19:AC21" si="28">AB19/$Y$22</f>
        <v>0.75749205040756984</v>
      </c>
      <c r="AD19" s="30">
        <f t="shared" si="17"/>
        <v>113.44881276761387</v>
      </c>
      <c r="AE19" s="31">
        <f t="shared" ref="AE19:AE21" si="29">AD19/$AD$18</f>
        <v>1.3201458674872539</v>
      </c>
    </row>
    <row r="20" spans="1:31" x14ac:dyDescent="0.3">
      <c r="A20">
        <v>10</v>
      </c>
      <c r="B20" s="29">
        <v>0.25604903337737683</v>
      </c>
      <c r="C20" s="32">
        <v>62.154696132596683</v>
      </c>
      <c r="D20" s="18">
        <v>3.0386740331491673</v>
      </c>
      <c r="E20" s="30">
        <v>10</v>
      </c>
      <c r="F20" s="30">
        <f t="shared" si="18"/>
        <v>7.5690607734806639E-2</v>
      </c>
      <c r="G20" s="30">
        <f t="shared" si="19"/>
        <v>0.19392265193370165</v>
      </c>
      <c r="H20" s="30">
        <f>F20/$B$22</f>
        <v>0.45632965674053094</v>
      </c>
      <c r="I20" s="30">
        <f>E20/F20</f>
        <v>132.11678832116786</v>
      </c>
      <c r="J20" s="31">
        <f t="shared" si="20"/>
        <v>2.1913982254469162</v>
      </c>
      <c r="K20" s="29">
        <v>0.25964450055712218</v>
      </c>
      <c r="L20" s="32">
        <v>45.243282498184463</v>
      </c>
      <c r="M20" s="30">
        <v>10</v>
      </c>
      <c r="N20" s="30">
        <f t="shared" si="21"/>
        <v>0.10951343500363107</v>
      </c>
      <c r="O20" s="30">
        <f t="shared" si="22"/>
        <v>0.67696345268815161</v>
      </c>
      <c r="P20" s="30">
        <f t="shared" si="15"/>
        <v>91.312997347480106</v>
      </c>
      <c r="Q20" s="31">
        <f t="shared" si="23"/>
        <v>1.4771846190944338</v>
      </c>
      <c r="R20" s="29">
        <v>0.19397893866703578</v>
      </c>
      <c r="S20" s="32">
        <v>48.951670220326946</v>
      </c>
      <c r="T20" s="30">
        <v>10</v>
      </c>
      <c r="U20" s="30">
        <f t="shared" si="24"/>
        <v>0.1020966595593461</v>
      </c>
      <c r="V20" s="30">
        <f t="shared" si="25"/>
        <v>0.63270551747535508</v>
      </c>
      <c r="W20" s="30">
        <f t="shared" si="16"/>
        <v>97.946397493908833</v>
      </c>
      <c r="X20" s="31">
        <f t="shared" si="26"/>
        <v>1.5805141134065608</v>
      </c>
      <c r="Y20" s="29">
        <v>0.13569091753408899</v>
      </c>
      <c r="Z20" s="32">
        <v>70.88900766078747</v>
      </c>
      <c r="AA20" s="30">
        <v>10</v>
      </c>
      <c r="AB20" s="30">
        <f t="shared" si="27"/>
        <v>5.8221984678425057E-2</v>
      </c>
      <c r="AC20" s="30">
        <f t="shared" si="28"/>
        <v>0.50033978830792358</v>
      </c>
      <c r="AD20" s="30">
        <f t="shared" si="17"/>
        <v>171.75642594859249</v>
      </c>
      <c r="AE20" s="31">
        <f t="shared" si="29"/>
        <v>1.9986417697897954</v>
      </c>
    </row>
    <row r="21" spans="1:31" x14ac:dyDescent="0.3">
      <c r="A21">
        <v>10.5</v>
      </c>
      <c r="B21" s="29">
        <v>0.19869389709554328</v>
      </c>
      <c r="C21" s="32">
        <v>63.783783783783782</v>
      </c>
      <c r="D21" s="18">
        <v>2.7027027027027017</v>
      </c>
      <c r="E21" s="30">
        <v>10</v>
      </c>
      <c r="F21" s="30">
        <f t="shared" si="18"/>
        <v>7.2432432432432442E-2</v>
      </c>
      <c r="G21" s="30">
        <f t="shared" si="19"/>
        <v>0.19459459459459461</v>
      </c>
      <c r="H21" s="30">
        <f>F21/$B$22</f>
        <v>0.43668650600058539</v>
      </c>
      <c r="I21" s="30">
        <f>E21/F21</f>
        <v>138.0597014925373</v>
      </c>
      <c r="J21" s="31">
        <f t="shared" si="20"/>
        <v>2.2899722942175353</v>
      </c>
      <c r="K21" s="29">
        <v>0.24232378783949327</v>
      </c>
      <c r="L21" s="32">
        <v>47.727272727272727</v>
      </c>
      <c r="M21" s="30">
        <v>10</v>
      </c>
      <c r="N21" s="30">
        <f t="shared" si="21"/>
        <v>0.10454545454545454</v>
      </c>
      <c r="O21" s="30">
        <f t="shared" si="22"/>
        <v>0.64625360230547535</v>
      </c>
      <c r="P21" s="30">
        <f t="shared" si="15"/>
        <v>95.652173913043484</v>
      </c>
      <c r="Q21" s="31">
        <f t="shared" si="23"/>
        <v>1.5473801560758087</v>
      </c>
      <c r="R21" s="29">
        <v>0.25473900828731177</v>
      </c>
      <c r="S21" s="32">
        <v>57.727108215707567</v>
      </c>
      <c r="T21" s="30">
        <v>10</v>
      </c>
      <c r="U21" s="30">
        <f t="shared" si="24"/>
        <v>8.4545783568584873E-2</v>
      </c>
      <c r="V21" s="30">
        <f t="shared" si="25"/>
        <v>0.52394058702799218</v>
      </c>
      <c r="W21" s="30">
        <f t="shared" si="16"/>
        <v>118.2791095890411</v>
      </c>
      <c r="X21" s="31">
        <f t="shared" si="26"/>
        <v>1.9086133518924615</v>
      </c>
      <c r="Y21" s="29">
        <v>0.20962674642714324</v>
      </c>
      <c r="Z21" s="32">
        <v>77.516839614054263</v>
      </c>
      <c r="AA21" s="30">
        <v>10</v>
      </c>
      <c r="AB21" s="30">
        <f t="shared" si="27"/>
        <v>4.4966320771891478E-2</v>
      </c>
      <c r="AC21" s="30">
        <f t="shared" si="28"/>
        <v>0.38642515435121316</v>
      </c>
      <c r="AD21" s="30">
        <f t="shared" si="17"/>
        <v>222.38866396761142</v>
      </c>
      <c r="AE21" s="31">
        <f t="shared" si="29"/>
        <v>2.5878232530668082</v>
      </c>
    </row>
    <row r="22" spans="1:31" ht="15" thickBot="1" x14ac:dyDescent="0.35">
      <c r="A22" t="s">
        <v>57</v>
      </c>
      <c r="B22" s="33">
        <f>F18</f>
        <v>0.16586826347305392</v>
      </c>
      <c r="C22" s="34"/>
      <c r="D22" s="34"/>
      <c r="E22" s="34"/>
      <c r="F22" s="34"/>
      <c r="G22" s="34"/>
      <c r="H22" s="34"/>
      <c r="I22" s="34"/>
      <c r="J22" s="35" t="s">
        <v>57</v>
      </c>
      <c r="K22" s="33">
        <f>N18</f>
        <v>0.16177156177156179</v>
      </c>
      <c r="L22" s="34"/>
      <c r="M22" s="34"/>
      <c r="N22" s="34"/>
      <c r="O22" s="34"/>
      <c r="P22" s="34"/>
      <c r="Q22" s="35" t="s">
        <v>57</v>
      </c>
      <c r="R22" s="33">
        <f>U18</f>
        <v>0.16136521136521137</v>
      </c>
      <c r="S22" s="34"/>
      <c r="T22" s="34"/>
      <c r="U22" s="34"/>
      <c r="V22" s="34"/>
      <c r="W22" s="34"/>
      <c r="X22" s="35" t="s">
        <v>57</v>
      </c>
      <c r="Y22" s="33">
        <f>AB18</f>
        <v>0.11636489049836181</v>
      </c>
      <c r="Z22" s="34"/>
      <c r="AA22" s="34"/>
      <c r="AB22" s="34"/>
      <c r="AC22" s="34"/>
      <c r="AD22" s="34"/>
      <c r="AE22" s="35"/>
    </row>
    <row r="24" spans="1:31" x14ac:dyDescent="0.3">
      <c r="M24">
        <f>21.85*0.89/0.19</f>
        <v>102.35</v>
      </c>
    </row>
    <row r="41" spans="1:33" ht="15" thickBot="1" x14ac:dyDescent="0.35">
      <c r="B41" t="s">
        <v>51</v>
      </c>
      <c r="K41" t="s">
        <v>51</v>
      </c>
      <c r="S41" t="s">
        <v>51</v>
      </c>
      <c r="AA41" t="s">
        <v>51</v>
      </c>
    </row>
    <row r="42" spans="1:33" x14ac:dyDescent="0.3">
      <c r="B42" s="26" t="s">
        <v>46</v>
      </c>
      <c r="C42" s="27"/>
      <c r="D42" s="27"/>
      <c r="E42" s="27"/>
      <c r="F42" s="27"/>
      <c r="G42" s="27"/>
      <c r="H42" s="28"/>
      <c r="I42" s="30"/>
      <c r="K42" s="26" t="s">
        <v>47</v>
      </c>
      <c r="L42" s="27"/>
      <c r="M42" s="27"/>
      <c r="N42" s="27"/>
      <c r="O42" s="27"/>
      <c r="P42" s="27"/>
      <c r="Q42" s="28"/>
      <c r="S42" s="26" t="s">
        <v>48</v>
      </c>
      <c r="T42" s="27"/>
      <c r="U42" s="27"/>
      <c r="V42" s="27"/>
      <c r="W42" s="27"/>
      <c r="X42" s="27"/>
      <c r="Y42" s="28"/>
      <c r="AA42" s="26" t="s">
        <v>49</v>
      </c>
      <c r="AB42" s="27"/>
      <c r="AC42" s="27"/>
      <c r="AD42" s="27"/>
      <c r="AE42" s="27"/>
      <c r="AF42" s="27"/>
      <c r="AG42" s="28"/>
    </row>
    <row r="43" spans="1:33" x14ac:dyDescent="0.3">
      <c r="A43" t="s">
        <v>39</v>
      </c>
      <c r="B43" s="29" t="s">
        <v>50</v>
      </c>
      <c r="C43" s="30" t="s">
        <v>53</v>
      </c>
      <c r="D43" s="36" t="s">
        <v>69</v>
      </c>
      <c r="E43" s="30" t="s">
        <v>65</v>
      </c>
      <c r="F43" s="30" t="s">
        <v>66</v>
      </c>
      <c r="G43" s="36" t="s">
        <v>70</v>
      </c>
      <c r="H43" s="31" t="s">
        <v>68</v>
      </c>
      <c r="I43" s="36" t="s">
        <v>79</v>
      </c>
      <c r="J43" t="s">
        <v>39</v>
      </c>
      <c r="K43" s="29" t="s">
        <v>50</v>
      </c>
      <c r="L43" s="30" t="s">
        <v>53</v>
      </c>
      <c r="M43" s="36" t="s">
        <v>69</v>
      </c>
      <c r="N43" s="30" t="s">
        <v>65</v>
      </c>
      <c r="O43" s="30" t="s">
        <v>66</v>
      </c>
      <c r="P43" s="36" t="s">
        <v>70</v>
      </c>
      <c r="Q43" s="31" t="s">
        <v>68</v>
      </c>
      <c r="R43" t="s">
        <v>39</v>
      </c>
      <c r="S43" s="29" t="s">
        <v>50</v>
      </c>
      <c r="T43" s="30" t="s">
        <v>53</v>
      </c>
      <c r="U43" s="36" t="s">
        <v>69</v>
      </c>
      <c r="V43" s="30" t="s">
        <v>65</v>
      </c>
      <c r="W43" s="30" t="s">
        <v>66</v>
      </c>
      <c r="X43" s="36" t="s">
        <v>70</v>
      </c>
      <c r="Y43" s="31" t="s">
        <v>68</v>
      </c>
      <c r="Z43" t="s">
        <v>39</v>
      </c>
      <c r="AA43" s="29" t="s">
        <v>50</v>
      </c>
      <c r="AB43" s="30" t="s">
        <v>53</v>
      </c>
      <c r="AC43" s="36" t="s">
        <v>69</v>
      </c>
      <c r="AD43" s="30" t="s">
        <v>65</v>
      </c>
      <c r="AE43" s="30" t="s">
        <v>66</v>
      </c>
      <c r="AF43" s="36" t="s">
        <v>70</v>
      </c>
      <c r="AG43" s="31" t="s">
        <v>68</v>
      </c>
    </row>
    <row r="44" spans="1:33" x14ac:dyDescent="0.3">
      <c r="A44">
        <v>3.5</v>
      </c>
      <c r="B44" s="29"/>
      <c r="C44" s="30">
        <v>32.936507936507944</v>
      </c>
      <c r="D44" s="32">
        <v>0</v>
      </c>
      <c r="E44" s="30">
        <v>10</v>
      </c>
      <c r="F44" s="30"/>
      <c r="G44" s="30"/>
      <c r="H44" s="31"/>
      <c r="I44" s="30"/>
      <c r="J44">
        <v>3.5</v>
      </c>
      <c r="K44" s="29"/>
      <c r="L44" s="32">
        <v>34.005037783375322</v>
      </c>
      <c r="M44" s="32"/>
      <c r="N44" s="30">
        <v>10</v>
      </c>
      <c r="O44" s="30"/>
      <c r="P44" s="30"/>
      <c r="Q44" s="31"/>
      <c r="R44">
        <v>3.5</v>
      </c>
      <c r="S44" s="29"/>
      <c r="T44" s="32">
        <v>35.183044315992298</v>
      </c>
      <c r="U44" s="32"/>
      <c r="V44" s="30">
        <v>10</v>
      </c>
      <c r="W44" s="30"/>
      <c r="X44" s="30"/>
      <c r="Y44" s="31"/>
      <c r="Z44">
        <v>3.5</v>
      </c>
      <c r="AA44" s="29"/>
      <c r="AB44" s="32">
        <v>51.116838487972508</v>
      </c>
      <c r="AC44" s="32"/>
      <c r="AD44" s="30">
        <v>10</v>
      </c>
      <c r="AE44" s="30"/>
      <c r="AF44" s="30"/>
      <c r="AG44" s="31"/>
    </row>
    <row r="45" spans="1:33" x14ac:dyDescent="0.3">
      <c r="A45">
        <v>5</v>
      </c>
      <c r="B45" s="29"/>
      <c r="C45" s="30">
        <v>15.87982832618026</v>
      </c>
      <c r="D45" s="32">
        <v>0.42918454935622119</v>
      </c>
      <c r="E45" s="30">
        <v>10</v>
      </c>
      <c r="F45" s="30">
        <f>((100-C45)/100)*E45*0.002</f>
        <v>1.6824034334763947E-2</v>
      </c>
      <c r="G45" s="30">
        <f>((100-D45)/100)*E45*0.002</f>
        <v>1.9914163090128757E-2</v>
      </c>
      <c r="H45" s="31">
        <f>F45/$B$50</f>
        <v>1</v>
      </c>
      <c r="I45" s="30">
        <f>G45/B50</f>
        <v>1.1836734693877553</v>
      </c>
      <c r="J45">
        <v>5</v>
      </c>
      <c r="K45" s="29"/>
      <c r="L45" s="32">
        <v>17.503217503217499</v>
      </c>
      <c r="M45" s="32"/>
      <c r="N45" s="30">
        <v>10</v>
      </c>
      <c r="O45" s="30">
        <f>((100-L45)/100)*N45*0.002</f>
        <v>1.64993564993565E-2</v>
      </c>
      <c r="P45" s="30"/>
      <c r="Q45" s="31">
        <f>O45/$K$50</f>
        <v>1</v>
      </c>
      <c r="R45">
        <v>5</v>
      </c>
      <c r="S45" s="29"/>
      <c r="T45" s="32">
        <v>26.796998420221161</v>
      </c>
      <c r="U45" s="32"/>
      <c r="V45" s="30">
        <v>10</v>
      </c>
      <c r="W45" s="30">
        <f>((100-T45)/100)*V45*0.002</f>
        <v>1.4640600315955767E-2</v>
      </c>
      <c r="X45" s="30"/>
      <c r="Y45" s="31">
        <f>W45/$S$50</f>
        <v>1</v>
      </c>
      <c r="Z45">
        <v>5</v>
      </c>
      <c r="AA45" s="29"/>
      <c r="AB45" s="32">
        <v>47.255880256593009</v>
      </c>
      <c r="AC45" s="32"/>
      <c r="AD45" s="30">
        <v>10</v>
      </c>
      <c r="AE45" s="30">
        <f>((100-AB45)/100)*AD45*0.002</f>
        <v>1.05488239486814E-2</v>
      </c>
      <c r="AF45" s="30"/>
      <c r="AG45" s="31">
        <f>AE45/$AA$50</f>
        <v>1</v>
      </c>
    </row>
    <row r="46" spans="1:33" x14ac:dyDescent="0.3">
      <c r="A46">
        <v>7</v>
      </c>
      <c r="B46" s="29"/>
      <c r="C46" s="30">
        <v>38.493723849372401</v>
      </c>
      <c r="D46" s="32">
        <v>1.0041841004184064</v>
      </c>
      <c r="E46" s="30">
        <v>10</v>
      </c>
      <c r="F46" s="30">
        <f>((100-C46)/100)*E46*0.002</f>
        <v>1.230125523012552E-2</v>
      </c>
      <c r="G46" s="30">
        <f>((100-D46)/100)*E46*0.002</f>
        <v>1.979916317991632E-2</v>
      </c>
      <c r="H46" s="31">
        <f>F46/$B$50</f>
        <v>0.73117154811715468</v>
      </c>
      <c r="I46" s="30">
        <f>G46/B50</f>
        <v>1.1768380155409446</v>
      </c>
      <c r="J46">
        <v>7</v>
      </c>
      <c r="K46" s="29"/>
      <c r="L46" s="32">
        <v>36.609336609336616</v>
      </c>
      <c r="M46" s="32"/>
      <c r="N46" s="30">
        <v>10</v>
      </c>
      <c r="O46" s="30">
        <f>((100-L46)/100)*N46*0.002</f>
        <v>1.2678132678132677E-2</v>
      </c>
      <c r="P46" s="30"/>
      <c r="Q46" s="31">
        <f>O46/$K$50</f>
        <v>0.76840164515671527</v>
      </c>
      <c r="R46">
        <v>7</v>
      </c>
      <c r="S46" s="29"/>
      <c r="T46" s="32">
        <v>48.951333740582378</v>
      </c>
      <c r="U46" s="32"/>
      <c r="V46" s="30">
        <v>10</v>
      </c>
      <c r="W46" s="30">
        <f>((100-T46)/100)*V46*0.002</f>
        <v>1.0209733251883525E-2</v>
      </c>
      <c r="X46" s="30"/>
      <c r="Y46" s="31">
        <f>W46/$S$50</f>
        <v>0.69735755580709691</v>
      </c>
      <c r="Z46">
        <v>7</v>
      </c>
      <c r="AA46" s="29"/>
      <c r="AB46" s="32">
        <v>60.545872179435207</v>
      </c>
      <c r="AC46" s="32"/>
      <c r="AD46" s="30">
        <v>10</v>
      </c>
      <c r="AE46" s="30">
        <f>((100-AB46)/100)*AD46*0.002</f>
        <v>7.8908255641129584E-3</v>
      </c>
      <c r="AF46" s="30"/>
      <c r="AG46" s="31">
        <f>AE46/$AA$50</f>
        <v>0.74802893692232963</v>
      </c>
    </row>
    <row r="47" spans="1:33" x14ac:dyDescent="0.3">
      <c r="A47">
        <v>9</v>
      </c>
      <c r="B47" s="29"/>
      <c r="C47" s="30">
        <v>45.614035087719301</v>
      </c>
      <c r="D47" s="32">
        <v>0.87719298245614041</v>
      </c>
      <c r="E47" s="30">
        <v>10</v>
      </c>
      <c r="F47" s="30">
        <f t="shared" ref="F47:F49" si="30">((100-C47)/100)*E47*0.002</f>
        <v>1.0877192982456138E-2</v>
      </c>
      <c r="G47" s="30"/>
      <c r="H47" s="31"/>
      <c r="I47" s="30"/>
      <c r="J47">
        <v>9</v>
      </c>
      <c r="K47" s="29"/>
      <c r="L47" s="32">
        <v>54.888221554888219</v>
      </c>
      <c r="M47" s="32"/>
      <c r="N47" s="30">
        <v>10</v>
      </c>
      <c r="O47" s="30">
        <f t="shared" ref="O47:O49" si="31">((100-L47)/100)*N47*0.002</f>
        <v>9.0223556890223575E-3</v>
      </c>
      <c r="P47" s="30"/>
      <c r="Q47" s="31"/>
      <c r="R47">
        <v>9</v>
      </c>
      <c r="S47" s="29"/>
      <c r="T47" s="32">
        <v>65.731912507010648</v>
      </c>
      <c r="U47" s="32"/>
      <c r="V47" s="30">
        <v>10</v>
      </c>
      <c r="W47" s="30">
        <f t="shared" ref="W47:W49" si="32">((100-T47)/100)*V47*0.002</f>
        <v>6.8536174985978707E-3</v>
      </c>
      <c r="X47" s="30"/>
      <c r="Y47" s="31"/>
      <c r="Z47">
        <v>9</v>
      </c>
      <c r="AA47" s="29"/>
      <c r="AB47" s="32">
        <v>68.501895072810697</v>
      </c>
      <c r="AC47" s="32"/>
      <c r="AD47" s="30">
        <v>10</v>
      </c>
      <c r="AE47" s="30">
        <f t="shared" ref="AE47:AE49" si="33">((100-AB47)/100)*AD47*0.002</f>
        <v>6.2996209854378604E-3</v>
      </c>
      <c r="AF47" s="30"/>
      <c r="AG47" s="31"/>
    </row>
    <row r="48" spans="1:33" x14ac:dyDescent="0.3">
      <c r="A48">
        <v>10</v>
      </c>
      <c r="B48" s="29"/>
      <c r="C48" s="30">
        <v>84.449339207048467</v>
      </c>
      <c r="D48" s="32">
        <v>0.26431718061673593</v>
      </c>
      <c r="E48" s="30">
        <v>10</v>
      </c>
      <c r="F48" s="30">
        <f t="shared" si="30"/>
        <v>3.1101321585903065E-3</v>
      </c>
      <c r="G48" s="30"/>
      <c r="H48" s="31"/>
      <c r="I48" s="30"/>
      <c r="J48">
        <v>10</v>
      </c>
      <c r="K48" s="29"/>
      <c r="L48" s="32">
        <v>72.13709013016971</v>
      </c>
      <c r="M48" s="32"/>
      <c r="N48" s="30">
        <v>10</v>
      </c>
      <c r="O48" s="30">
        <f t="shared" si="31"/>
        <v>5.572581973966058E-3</v>
      </c>
      <c r="P48" s="30"/>
      <c r="Q48" s="31"/>
      <c r="R48">
        <v>10</v>
      </c>
      <c r="S48" s="29"/>
      <c r="T48" s="32">
        <v>77.973568281938327</v>
      </c>
      <c r="U48" s="32"/>
      <c r="V48" s="30">
        <v>10</v>
      </c>
      <c r="W48" s="30">
        <f t="shared" si="32"/>
        <v>4.4052863436123343E-3</v>
      </c>
      <c r="X48" s="30"/>
      <c r="Y48" s="31"/>
      <c r="Z48">
        <v>10</v>
      </c>
      <c r="AA48" s="29"/>
      <c r="AB48" s="32">
        <v>81.208309510196287</v>
      </c>
      <c r="AC48" s="32"/>
      <c r="AD48" s="30">
        <v>10</v>
      </c>
      <c r="AE48" s="30">
        <f t="shared" si="33"/>
        <v>3.7583380979607428E-3</v>
      </c>
      <c r="AF48" s="30"/>
      <c r="AG48" s="31"/>
    </row>
    <row r="49" spans="1:33" x14ac:dyDescent="0.3">
      <c r="A49">
        <v>10.5</v>
      </c>
      <c r="B49" s="29"/>
      <c r="C49" s="30">
        <v>88.864628820960689</v>
      </c>
      <c r="D49" s="32">
        <v>0.5676855895196482</v>
      </c>
      <c r="E49" s="30">
        <v>10</v>
      </c>
      <c r="F49" s="30">
        <f t="shared" si="30"/>
        <v>2.2270742358078623E-3</v>
      </c>
      <c r="G49" s="30"/>
      <c r="H49" s="31"/>
      <c r="I49" s="30"/>
      <c r="J49">
        <v>10.5</v>
      </c>
      <c r="K49" s="29"/>
      <c r="L49" s="32">
        <v>75.512195121951223</v>
      </c>
      <c r="M49" s="32"/>
      <c r="N49" s="30">
        <v>10</v>
      </c>
      <c r="O49" s="30">
        <f t="shared" si="31"/>
        <v>4.8975609756097549E-3</v>
      </c>
      <c r="P49" s="30"/>
      <c r="Q49" s="31"/>
      <c r="R49">
        <v>10.5</v>
      </c>
      <c r="S49" s="29"/>
      <c r="T49" s="32">
        <v>81.960784313725483</v>
      </c>
      <c r="U49" s="32"/>
      <c r="V49" s="30">
        <v>10</v>
      </c>
      <c r="W49" s="30">
        <f t="shared" si="32"/>
        <v>3.6078431372549035E-3</v>
      </c>
      <c r="X49" s="30"/>
      <c r="Y49" s="31"/>
      <c r="Z49">
        <v>10.5</v>
      </c>
      <c r="AA49" s="29"/>
      <c r="AB49" s="32">
        <v>85.061254342658614</v>
      </c>
      <c r="AC49" s="32"/>
      <c r="AD49" s="30">
        <v>10</v>
      </c>
      <c r="AE49" s="30">
        <f t="shared" si="33"/>
        <v>2.9877491314682773E-3</v>
      </c>
      <c r="AF49" s="30"/>
      <c r="AG49" s="31"/>
    </row>
    <row r="50" spans="1:33" x14ac:dyDescent="0.3">
      <c r="A50" t="s">
        <v>78</v>
      </c>
      <c r="B50" s="29">
        <f>F45</f>
        <v>1.6824034334763947E-2</v>
      </c>
      <c r="C50" s="30"/>
      <c r="D50" s="30"/>
      <c r="E50" s="30"/>
      <c r="F50" s="30"/>
      <c r="G50" s="30"/>
      <c r="H50" s="31"/>
      <c r="I50" s="30"/>
      <c r="J50" t="s">
        <v>78</v>
      </c>
      <c r="K50" s="29">
        <f>O45</f>
        <v>1.64993564993565E-2</v>
      </c>
      <c r="L50" s="30"/>
      <c r="M50" s="30"/>
      <c r="N50" s="30"/>
      <c r="O50" s="30"/>
      <c r="P50" s="30"/>
      <c r="Q50" s="31"/>
      <c r="R50" t="s">
        <v>78</v>
      </c>
      <c r="S50" s="29">
        <f>W45</f>
        <v>1.4640600315955767E-2</v>
      </c>
      <c r="T50" s="30"/>
      <c r="U50" s="30"/>
      <c r="V50" s="30"/>
      <c r="W50" s="30"/>
      <c r="X50" s="30"/>
      <c r="Y50" s="31"/>
      <c r="Z50" t="s">
        <v>78</v>
      </c>
      <c r="AA50" s="29">
        <f>AE45</f>
        <v>1.05488239486814E-2</v>
      </c>
      <c r="AB50" s="30"/>
      <c r="AC50" s="30"/>
      <c r="AD50" s="30"/>
      <c r="AE50" s="30"/>
      <c r="AF50" s="30"/>
      <c r="AG50" s="31"/>
    </row>
    <row r="51" spans="1:33" x14ac:dyDescent="0.3">
      <c r="B51" s="29" t="s">
        <v>52</v>
      </c>
      <c r="C51" s="30"/>
      <c r="D51" s="30"/>
      <c r="E51" s="30"/>
      <c r="F51" s="30"/>
      <c r="G51" s="30"/>
      <c r="H51" s="31"/>
      <c r="I51" s="30"/>
      <c r="K51" s="29" t="s">
        <v>52</v>
      </c>
      <c r="L51" s="30"/>
      <c r="M51" s="30"/>
      <c r="N51" s="30"/>
      <c r="O51" s="30"/>
      <c r="P51" s="30"/>
      <c r="Q51" s="31"/>
      <c r="S51" s="29" t="s">
        <v>52</v>
      </c>
      <c r="T51" s="30"/>
      <c r="U51" s="30"/>
      <c r="V51" s="30"/>
      <c r="W51" s="30"/>
      <c r="X51" s="30"/>
      <c r="Y51" s="31"/>
      <c r="AA51" s="29" t="s">
        <v>52</v>
      </c>
      <c r="AB51" s="30"/>
      <c r="AC51" s="30"/>
      <c r="AD51" s="30"/>
      <c r="AE51" s="30"/>
      <c r="AF51" s="30"/>
      <c r="AG51" s="31"/>
    </row>
    <row r="52" spans="1:33" x14ac:dyDescent="0.3">
      <c r="B52" s="29" t="s">
        <v>46</v>
      </c>
      <c r="C52" s="30"/>
      <c r="D52" s="30"/>
      <c r="E52" s="30"/>
      <c r="F52" s="30"/>
      <c r="G52" s="30"/>
      <c r="H52" s="31"/>
      <c r="I52" s="30"/>
      <c r="K52" s="29" t="s">
        <v>47</v>
      </c>
      <c r="L52" s="30"/>
      <c r="M52" s="30"/>
      <c r="N52" s="30"/>
      <c r="O52" s="30"/>
      <c r="P52" s="30"/>
      <c r="Q52" s="31"/>
      <c r="S52" s="29" t="s">
        <v>48</v>
      </c>
      <c r="T52" s="30"/>
      <c r="U52" s="30"/>
      <c r="V52" s="30"/>
      <c r="W52" s="30"/>
      <c r="X52" s="30"/>
      <c r="Y52" s="31"/>
      <c r="AA52" s="29" t="s">
        <v>49</v>
      </c>
      <c r="AB52" s="30"/>
      <c r="AC52" s="30"/>
      <c r="AD52" s="30"/>
      <c r="AE52" s="30"/>
      <c r="AF52" s="30"/>
      <c r="AG52" s="31"/>
    </row>
    <row r="53" spans="1:33" x14ac:dyDescent="0.3">
      <c r="A53" t="s">
        <v>39</v>
      </c>
      <c r="B53" s="29" t="s">
        <v>50</v>
      </c>
      <c r="C53" s="30" t="s">
        <v>53</v>
      </c>
      <c r="D53" s="36" t="s">
        <v>69</v>
      </c>
      <c r="E53" s="30" t="s">
        <v>65</v>
      </c>
      <c r="F53" s="30" t="s">
        <v>66</v>
      </c>
      <c r="G53" s="36" t="s">
        <v>70</v>
      </c>
      <c r="H53" s="31" t="s">
        <v>68</v>
      </c>
      <c r="I53" s="30"/>
      <c r="J53" t="s">
        <v>39</v>
      </c>
      <c r="K53" s="29" t="s">
        <v>50</v>
      </c>
      <c r="L53" s="30" t="s">
        <v>53</v>
      </c>
      <c r="M53" s="36" t="s">
        <v>69</v>
      </c>
      <c r="N53" s="30" t="s">
        <v>65</v>
      </c>
      <c r="O53" s="30" t="s">
        <v>66</v>
      </c>
      <c r="P53" s="36" t="s">
        <v>70</v>
      </c>
      <c r="Q53" s="31" t="s">
        <v>68</v>
      </c>
      <c r="R53" t="s">
        <v>39</v>
      </c>
      <c r="S53" s="29" t="s">
        <v>50</v>
      </c>
      <c r="T53" s="30" t="s">
        <v>53</v>
      </c>
      <c r="U53" s="36" t="s">
        <v>69</v>
      </c>
      <c r="V53" s="30" t="s">
        <v>65</v>
      </c>
      <c r="W53" s="30" t="s">
        <v>66</v>
      </c>
      <c r="X53" s="36" t="s">
        <v>70</v>
      </c>
      <c r="Y53" s="31" t="s">
        <v>68</v>
      </c>
      <c r="Z53" t="s">
        <v>39</v>
      </c>
      <c r="AA53" s="29" t="s">
        <v>50</v>
      </c>
      <c r="AB53" s="30" t="s">
        <v>53</v>
      </c>
      <c r="AC53" s="36" t="s">
        <v>69</v>
      </c>
      <c r="AD53" s="30" t="s">
        <v>65</v>
      </c>
      <c r="AE53" s="30" t="s">
        <v>66</v>
      </c>
      <c r="AF53" s="36" t="s">
        <v>70</v>
      </c>
      <c r="AG53" s="31" t="s">
        <v>68</v>
      </c>
    </row>
    <row r="54" spans="1:33" x14ac:dyDescent="0.3">
      <c r="A54">
        <v>3.5</v>
      </c>
      <c r="B54" s="29"/>
      <c r="C54" s="32">
        <v>26.589595375722546</v>
      </c>
      <c r="D54" s="32">
        <v>3.4682080924855399</v>
      </c>
      <c r="E54" s="30">
        <v>10</v>
      </c>
      <c r="F54" s="30"/>
      <c r="G54" s="30"/>
      <c r="H54" s="31"/>
      <c r="I54" s="30"/>
      <c r="J54">
        <v>3.5</v>
      </c>
      <c r="K54" s="29"/>
      <c r="L54" s="32">
        <v>27.352510970258418</v>
      </c>
      <c r="M54" s="32"/>
      <c r="N54" s="30">
        <v>10</v>
      </c>
      <c r="O54" s="30"/>
      <c r="P54" s="30"/>
      <c r="Q54" s="31"/>
      <c r="R54">
        <v>3.5</v>
      </c>
      <c r="S54" s="29"/>
      <c r="T54" s="32">
        <v>37.287847929395802</v>
      </c>
      <c r="U54" s="32"/>
      <c r="V54" s="30">
        <v>10</v>
      </c>
      <c r="W54" s="30"/>
      <c r="X54" s="30"/>
      <c r="Y54" s="31"/>
      <c r="Z54">
        <v>3.5</v>
      </c>
      <c r="AA54" s="29"/>
      <c r="AB54" s="32">
        <v>63.624070317782277</v>
      </c>
      <c r="AC54" s="32"/>
      <c r="AD54" s="30">
        <v>10</v>
      </c>
      <c r="AE54" s="30"/>
      <c r="AF54" s="30"/>
      <c r="AG54" s="31"/>
    </row>
    <row r="55" spans="1:33" x14ac:dyDescent="0.3">
      <c r="A55">
        <v>5</v>
      </c>
      <c r="B55" s="29"/>
      <c r="C55" s="32">
        <v>12.499999999999993</v>
      </c>
      <c r="D55" s="32">
        <v>1.4534883720930183</v>
      </c>
      <c r="E55" s="30">
        <v>10</v>
      </c>
      <c r="F55" s="30">
        <f t="shared" ref="F55" si="34">((100-C55)/100)*E55*0.02</f>
        <v>0.17500000000000002</v>
      </c>
      <c r="G55" s="30">
        <f t="shared" ref="G55" si="35">((100-D55)/100)*E55*0.02</f>
        <v>0.19709302325581399</v>
      </c>
      <c r="H55" s="31">
        <f>F55/$B$60</f>
        <v>1</v>
      </c>
      <c r="I55" s="30"/>
      <c r="J55">
        <v>5</v>
      </c>
      <c r="K55" s="29"/>
      <c r="L55" s="32">
        <v>7.8270388615216184</v>
      </c>
      <c r="M55" s="32"/>
      <c r="N55" s="30">
        <v>10</v>
      </c>
      <c r="O55" s="30">
        <f t="shared" ref="O55" si="36">((100-L55)/100)*N55*0.02</f>
        <v>0.18434592227695679</v>
      </c>
      <c r="P55" s="30"/>
      <c r="Q55" s="31">
        <f>O55/$K$60</f>
        <v>1</v>
      </c>
      <c r="R55">
        <v>5</v>
      </c>
      <c r="S55" s="29"/>
      <c r="T55" s="32">
        <v>14.126330243734985</v>
      </c>
      <c r="U55" s="32"/>
      <c r="V55" s="30">
        <v>10</v>
      </c>
      <c r="W55" s="30">
        <f t="shared" ref="W55" si="37">((100-T55)/100)*V55*0.02</f>
        <v>0.17174733951253005</v>
      </c>
      <c r="X55" s="30"/>
      <c r="Y55" s="31">
        <f>W55/$S$60</f>
        <v>1</v>
      </c>
      <c r="Z55">
        <v>5</v>
      </c>
      <c r="AA55" s="29"/>
      <c r="AB55" s="32">
        <v>40.041493775933617</v>
      </c>
      <c r="AC55" s="32"/>
      <c r="AD55" s="30">
        <v>10</v>
      </c>
      <c r="AE55" s="30">
        <f t="shared" ref="AE55" si="38">((100-AB55)/100)*AD55*0.02</f>
        <v>0.11991701244813278</v>
      </c>
      <c r="AF55" s="30"/>
      <c r="AG55" s="31">
        <f>AE55/$AA$60</f>
        <v>1</v>
      </c>
    </row>
    <row r="56" spans="1:33" x14ac:dyDescent="0.3">
      <c r="A56">
        <v>7</v>
      </c>
      <c r="B56" s="29"/>
      <c r="C56" s="32">
        <v>17.065868263473053</v>
      </c>
      <c r="D56" s="32">
        <v>3.8922155688622677</v>
      </c>
      <c r="E56" s="30">
        <v>10</v>
      </c>
      <c r="F56" s="30">
        <f>((100-C56)/100)*E56*0.02</f>
        <v>0.16586826347305392</v>
      </c>
      <c r="G56" s="30">
        <f>((100-D56)/100)*E56*0.02</f>
        <v>0.19221556886227548</v>
      </c>
      <c r="H56" s="31">
        <f>F56/$B$60</f>
        <v>0.94781864841745089</v>
      </c>
      <c r="I56" s="30"/>
      <c r="J56">
        <v>7</v>
      </c>
      <c r="K56" s="29"/>
      <c r="L56" s="32">
        <v>19.114219114219114</v>
      </c>
      <c r="M56" s="32"/>
      <c r="N56" s="30">
        <v>10</v>
      </c>
      <c r="O56" s="30">
        <f>((100-L56)/100)*N56*0.02</f>
        <v>0.16177156177156179</v>
      </c>
      <c r="P56" s="30"/>
      <c r="Q56" s="31">
        <f>O56/$K$60</f>
        <v>0.87754347789977238</v>
      </c>
      <c r="R56">
        <v>7</v>
      </c>
      <c r="S56" s="29"/>
      <c r="T56" s="32">
        <v>19.317394317394314</v>
      </c>
      <c r="U56" s="32"/>
      <c r="V56" s="30">
        <v>10</v>
      </c>
      <c r="W56" s="30">
        <f>((100-T56)/100)*V56*0.02</f>
        <v>0.16136521136521137</v>
      </c>
      <c r="X56" s="30"/>
      <c r="Y56" s="31">
        <f>W56/$S$60</f>
        <v>0.93954999141887008</v>
      </c>
      <c r="Z56">
        <v>7</v>
      </c>
      <c r="AA56" s="29"/>
      <c r="AB56" s="32">
        <v>41.817554750819099</v>
      </c>
      <c r="AC56" s="32"/>
      <c r="AD56" s="30">
        <v>10</v>
      </c>
      <c r="AE56" s="30">
        <f>((100-AB56)/100)*AD56*0.02</f>
        <v>0.11636489049836181</v>
      </c>
      <c r="AF56" s="30"/>
      <c r="AG56" s="31">
        <f>AE56/$AA$60</f>
        <v>0.97037849861955694</v>
      </c>
    </row>
    <row r="57" spans="1:33" x14ac:dyDescent="0.3">
      <c r="A57">
        <v>9</v>
      </c>
      <c r="B57" s="29"/>
      <c r="C57" s="32">
        <v>29.26136363636364</v>
      </c>
      <c r="D57" s="32">
        <v>2.7963680038320873</v>
      </c>
      <c r="E57" s="30">
        <v>10</v>
      </c>
      <c r="F57" s="30">
        <f t="shared" ref="F57:F59" si="39">((100-C57)/100)*E57*0.02</f>
        <v>0.14147727272727273</v>
      </c>
      <c r="G57" s="30"/>
      <c r="H57" s="31"/>
      <c r="I57" s="30"/>
      <c r="J57">
        <v>9</v>
      </c>
      <c r="K57" s="29"/>
      <c r="L57" s="32">
        <v>38.238238238238239</v>
      </c>
      <c r="M57" s="32"/>
      <c r="N57" s="30">
        <v>10</v>
      </c>
      <c r="O57" s="30">
        <f t="shared" ref="O57:O59" si="40">((100-L57)/100)*N57*0.02</f>
        <v>0.12352352352352351</v>
      </c>
      <c r="P57" s="30"/>
      <c r="Q57" s="31"/>
      <c r="R57">
        <v>9</v>
      </c>
      <c r="S57" s="29"/>
      <c r="T57" s="32">
        <v>39.690003483106928</v>
      </c>
      <c r="U57" s="32"/>
      <c r="V57" s="30">
        <v>10</v>
      </c>
      <c r="W57" s="30">
        <f t="shared" ref="W57:W59" si="41">((100-T57)/100)*V57*0.02</f>
        <v>0.12061999303378615</v>
      </c>
      <c r="X57" s="30"/>
      <c r="Y57" s="31"/>
      <c r="Z57">
        <v>9</v>
      </c>
      <c r="AA57" s="29"/>
      <c r="AB57" s="32">
        <v>55.927260250471782</v>
      </c>
      <c r="AC57" s="32"/>
      <c r="AD57" s="30">
        <v>10</v>
      </c>
      <c r="AE57" s="30">
        <f t="shared" ref="AE57:AE59" si="42">((100-AB57)/100)*AD57*0.02</f>
        <v>8.8145479499056434E-2</v>
      </c>
      <c r="AF57" s="30"/>
      <c r="AG57" s="31"/>
    </row>
    <row r="58" spans="1:33" x14ac:dyDescent="0.3">
      <c r="A58">
        <v>10</v>
      </c>
      <c r="B58" s="29"/>
      <c r="C58" s="32">
        <v>62.154696132596683</v>
      </c>
      <c r="D58" s="32">
        <v>3.0386740331491673</v>
      </c>
      <c r="E58" s="30">
        <v>10</v>
      </c>
      <c r="F58" s="30">
        <f t="shared" si="39"/>
        <v>7.5690607734806639E-2</v>
      </c>
      <c r="G58" s="30"/>
      <c r="H58" s="31"/>
      <c r="I58" s="30"/>
      <c r="J58">
        <v>10</v>
      </c>
      <c r="K58" s="29"/>
      <c r="L58" s="32">
        <v>45.243282498184463</v>
      </c>
      <c r="M58" s="32"/>
      <c r="N58" s="30">
        <v>10</v>
      </c>
      <c r="O58" s="30">
        <f t="shared" si="40"/>
        <v>0.10951343500363107</v>
      </c>
      <c r="P58" s="30"/>
      <c r="Q58" s="31"/>
      <c r="R58">
        <v>10</v>
      </c>
      <c r="S58" s="29"/>
      <c r="T58" s="32">
        <v>48.951670220326946</v>
      </c>
      <c r="U58" s="32"/>
      <c r="V58" s="30">
        <v>10</v>
      </c>
      <c r="W58" s="30">
        <f t="shared" si="41"/>
        <v>0.1020966595593461</v>
      </c>
      <c r="X58" s="30"/>
      <c r="Y58" s="31"/>
      <c r="Z58">
        <v>10</v>
      </c>
      <c r="AA58" s="29"/>
      <c r="AB58" s="32">
        <v>70.88900766078747</v>
      </c>
      <c r="AC58" s="32"/>
      <c r="AD58" s="30">
        <v>10</v>
      </c>
      <c r="AE58" s="30">
        <f t="shared" si="42"/>
        <v>5.8221984678425057E-2</v>
      </c>
      <c r="AF58" s="30"/>
      <c r="AG58" s="31"/>
    </row>
    <row r="59" spans="1:33" x14ac:dyDescent="0.3">
      <c r="A59">
        <v>10.5</v>
      </c>
      <c r="B59" s="29"/>
      <c r="C59" s="32">
        <v>63.783783783783782</v>
      </c>
      <c r="D59" s="32">
        <v>2.7027027027027017</v>
      </c>
      <c r="E59" s="30">
        <v>10</v>
      </c>
      <c r="F59" s="30">
        <f t="shared" si="39"/>
        <v>7.2432432432432442E-2</v>
      </c>
      <c r="G59" s="30"/>
      <c r="H59" s="31"/>
      <c r="I59" s="30"/>
      <c r="J59">
        <v>10.5</v>
      </c>
      <c r="K59" s="29"/>
      <c r="L59" s="32">
        <v>47.727272727272727</v>
      </c>
      <c r="M59" s="32"/>
      <c r="N59" s="30">
        <v>10</v>
      </c>
      <c r="O59" s="30">
        <f t="shared" si="40"/>
        <v>0.10454545454545454</v>
      </c>
      <c r="P59" s="30"/>
      <c r="Q59" s="31"/>
      <c r="R59">
        <v>10.5</v>
      </c>
      <c r="S59" s="29"/>
      <c r="T59" s="32">
        <v>57.727108215707567</v>
      </c>
      <c r="U59" s="32"/>
      <c r="V59" s="30">
        <v>10</v>
      </c>
      <c r="W59" s="30">
        <f t="shared" si="41"/>
        <v>8.4545783568584873E-2</v>
      </c>
      <c r="X59" s="30"/>
      <c r="Y59" s="31"/>
      <c r="Z59">
        <v>10.5</v>
      </c>
      <c r="AA59" s="29"/>
      <c r="AB59" s="32">
        <v>77.516839614054263</v>
      </c>
      <c r="AC59" s="32"/>
      <c r="AD59" s="30">
        <v>10</v>
      </c>
      <c r="AE59" s="30">
        <f t="shared" si="42"/>
        <v>4.4966320771891478E-2</v>
      </c>
      <c r="AF59" s="30"/>
      <c r="AG59" s="31"/>
    </row>
    <row r="60" spans="1:33" ht="15" thickBot="1" x14ac:dyDescent="0.35">
      <c r="A60" t="s">
        <v>78</v>
      </c>
      <c r="B60" s="33">
        <f>F55</f>
        <v>0.17500000000000002</v>
      </c>
      <c r="C60" s="34"/>
      <c r="D60" s="34"/>
      <c r="E60" s="34"/>
      <c r="F60" s="34"/>
      <c r="G60" s="34"/>
      <c r="H60" s="35"/>
      <c r="I60" s="30"/>
      <c r="J60" t="s">
        <v>78</v>
      </c>
      <c r="K60" s="33">
        <f>O55</f>
        <v>0.18434592227695679</v>
      </c>
      <c r="L60" s="34"/>
      <c r="M60" s="34"/>
      <c r="N60" s="34"/>
      <c r="O60" s="34"/>
      <c r="P60" s="34"/>
      <c r="Q60" s="35"/>
      <c r="R60" t="s">
        <v>78</v>
      </c>
      <c r="S60" s="33">
        <f>W55</f>
        <v>0.17174733951253005</v>
      </c>
      <c r="T60" s="34"/>
      <c r="U60" s="34"/>
      <c r="V60" s="34"/>
      <c r="W60" s="34"/>
      <c r="X60" s="34"/>
      <c r="Y60" s="35"/>
      <c r="Z60" t="s">
        <v>78</v>
      </c>
      <c r="AA60" s="33">
        <f>AE55</f>
        <v>0.11991701244813278</v>
      </c>
      <c r="AB60" s="34"/>
      <c r="AC60" s="34"/>
      <c r="AD60" s="34"/>
      <c r="AE60" s="34"/>
      <c r="AF60" s="34"/>
      <c r="AG60" s="35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B23CB-2A5E-46F8-87A9-0AF6B2BB4CBF}">
  <dimension ref="A1:U70"/>
  <sheetViews>
    <sheetView zoomScale="85" zoomScaleNormal="85" workbookViewId="0">
      <selection activeCell="S10" sqref="S10"/>
    </sheetView>
  </sheetViews>
  <sheetFormatPr defaultRowHeight="14.4" x14ac:dyDescent="0.3"/>
  <cols>
    <col min="8" max="12" width="12.44140625" customWidth="1"/>
    <col min="13" max="13" width="10.88671875" bestFit="1" customWidth="1"/>
  </cols>
  <sheetData>
    <row r="1" spans="1:19" x14ac:dyDescent="0.3">
      <c r="A1" s="54" t="s">
        <v>96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6"/>
    </row>
    <row r="2" spans="1:19" x14ac:dyDescent="0.3">
      <c r="A2" s="29" t="s">
        <v>39</v>
      </c>
      <c r="B2" s="30" t="s">
        <v>53</v>
      </c>
      <c r="C2" s="36" t="s">
        <v>90</v>
      </c>
      <c r="D2" s="30" t="s">
        <v>65</v>
      </c>
      <c r="E2" s="30" t="s">
        <v>66</v>
      </c>
      <c r="F2" s="36" t="s">
        <v>70</v>
      </c>
      <c r="G2" s="36" t="s">
        <v>89</v>
      </c>
      <c r="H2" s="36" t="s">
        <v>91</v>
      </c>
      <c r="I2" s="44" t="s">
        <v>92</v>
      </c>
      <c r="J2" s="44" t="s">
        <v>93</v>
      </c>
      <c r="K2" s="44" t="s">
        <v>94</v>
      </c>
      <c r="L2" s="45" t="s">
        <v>95</v>
      </c>
      <c r="M2" s="29" t="s">
        <v>50</v>
      </c>
      <c r="N2" s="44" t="s">
        <v>104</v>
      </c>
      <c r="P2" t="s">
        <v>106</v>
      </c>
      <c r="R2" t="s">
        <v>105</v>
      </c>
    </row>
    <row r="3" spans="1:19" x14ac:dyDescent="0.3">
      <c r="A3" s="29">
        <v>3.53</v>
      </c>
      <c r="B3" s="30">
        <v>32.936507936507944</v>
      </c>
      <c r="C3" s="32">
        <v>0</v>
      </c>
      <c r="D3" s="30">
        <v>10</v>
      </c>
      <c r="E3" s="43">
        <f t="shared" ref="E3:E8" si="0">((100-B3)/100)*D3*0.002</f>
        <v>1.3412698412698409E-2</v>
      </c>
      <c r="F3" s="43">
        <f>E3*C3/B3</f>
        <v>0</v>
      </c>
      <c r="G3" s="43">
        <f>E3/D3</f>
        <v>1.3412698412698409E-3</v>
      </c>
      <c r="H3" s="43">
        <f>F3/D3</f>
        <v>0</v>
      </c>
      <c r="I3" s="43">
        <f>0.002-G3</f>
        <v>6.5873015873015917E-4</v>
      </c>
      <c r="J3" s="43">
        <f t="shared" ref="J3:J8" si="1">I3*EXP(D3/100)</f>
        <v>7.2800941428792715E-4</v>
      </c>
      <c r="K3" s="32">
        <f t="shared" ref="K3:K8" si="2">E3/J3</f>
        <v>18.423798029888797</v>
      </c>
      <c r="L3" s="46">
        <f>F3/J3</f>
        <v>0</v>
      </c>
      <c r="R3">
        <f>1/K3</f>
        <v>5.4277624970579197E-2</v>
      </c>
    </row>
    <row r="4" spans="1:19" x14ac:dyDescent="0.3">
      <c r="A4" s="29">
        <v>4.9400000000000004</v>
      </c>
      <c r="B4" s="30">
        <v>15.87982832618026</v>
      </c>
      <c r="C4" s="32">
        <v>0.42918454935622102</v>
      </c>
      <c r="D4" s="30">
        <v>10</v>
      </c>
      <c r="E4" s="43">
        <f t="shared" si="0"/>
        <v>1.6824034334763947E-2</v>
      </c>
      <c r="F4" s="43">
        <f t="shared" ref="F4:F8" si="3">E4*C4/B4</f>
        <v>4.5470363066929352E-4</v>
      </c>
      <c r="G4" s="43">
        <f t="shared" ref="G4:G8" si="4">E4/D4</f>
        <v>1.6824034334763948E-3</v>
      </c>
      <c r="H4" s="43">
        <f t="shared" ref="H4:H8" si="5">F4/D4</f>
        <v>4.5470363066929355E-5</v>
      </c>
      <c r="I4" s="43">
        <f t="shared" ref="I4:I8" si="6">0.002-G4</f>
        <v>3.1759656652360522E-4</v>
      </c>
      <c r="J4" s="43">
        <f t="shared" si="1"/>
        <v>3.5099848900256629E-4</v>
      </c>
      <c r="K4" s="32">
        <f t="shared" si="2"/>
        <v>47.931928090553519</v>
      </c>
      <c r="L4" s="46">
        <f t="shared" ref="L4:L8" si="7">F4/J4</f>
        <v>1.2954575159608992</v>
      </c>
      <c r="R4">
        <f t="shared" ref="R4:R6" si="8">1/K4</f>
        <v>2.0862920392244376E-2</v>
      </c>
      <c r="S4">
        <f>R4</f>
        <v>2.0862920392244376E-2</v>
      </c>
    </row>
    <row r="5" spans="1:19" x14ac:dyDescent="0.3">
      <c r="A5" s="29">
        <v>6.63</v>
      </c>
      <c r="B5" s="30">
        <v>38.49372384937238</v>
      </c>
      <c r="C5" s="32">
        <v>1.0041841004184064</v>
      </c>
      <c r="D5" s="30">
        <v>10</v>
      </c>
      <c r="E5" s="43">
        <f t="shared" si="0"/>
        <v>1.2301255230125525E-2</v>
      </c>
      <c r="F5" s="43">
        <f t="shared" si="3"/>
        <v>3.2090231035109955E-4</v>
      </c>
      <c r="G5" s="43">
        <f t="shared" si="4"/>
        <v>1.2301255230125524E-3</v>
      </c>
      <c r="H5" s="43">
        <f t="shared" si="5"/>
        <v>3.2090231035109954E-5</v>
      </c>
      <c r="I5" s="43">
        <f t="shared" si="6"/>
        <v>7.6987447698744762E-4</v>
      </c>
      <c r="J5" s="43">
        <f t="shared" si="1"/>
        <v>8.5084288253522663E-4</v>
      </c>
      <c r="K5" s="32">
        <f t="shared" si="2"/>
        <v>14.4577283099224</v>
      </c>
      <c r="L5" s="46">
        <f t="shared" si="7"/>
        <v>0.37715812982406133</v>
      </c>
      <c r="M5" s="29">
        <v>0</v>
      </c>
      <c r="N5">
        <f>K5/$K$5</f>
        <v>1</v>
      </c>
      <c r="O5">
        <f>L5/$K$5</f>
        <v>2.6086956521739042E-2</v>
      </c>
      <c r="P5">
        <f>1/N5</f>
        <v>1</v>
      </c>
      <c r="Q5">
        <f>(O5/N5)*P5</f>
        <v>2.6086956521739042E-2</v>
      </c>
      <c r="R5">
        <f t="shared" si="8"/>
        <v>6.9167159498611949E-2</v>
      </c>
      <c r="S5">
        <f>R5-R4</f>
        <v>4.8304239106367573E-2</v>
      </c>
    </row>
    <row r="6" spans="1:19" x14ac:dyDescent="0.3">
      <c r="A6" s="29">
        <v>8.85</v>
      </c>
      <c r="B6" s="30">
        <v>45.614035087719301</v>
      </c>
      <c r="C6" s="32">
        <v>0.87719298245614041</v>
      </c>
      <c r="D6" s="30">
        <v>10</v>
      </c>
      <c r="E6" s="43">
        <f t="shared" si="0"/>
        <v>1.0877192982456138E-2</v>
      </c>
      <c r="F6" s="43">
        <f t="shared" si="3"/>
        <v>2.091767881241565E-4</v>
      </c>
      <c r="G6" s="43">
        <f t="shared" si="4"/>
        <v>1.0877192982456138E-3</v>
      </c>
      <c r="H6" s="43">
        <f t="shared" si="5"/>
        <v>2.091767881241565E-5</v>
      </c>
      <c r="I6" s="43">
        <f t="shared" si="6"/>
        <v>9.1228070175438628E-4</v>
      </c>
      <c r="J6" s="43">
        <f t="shared" si="1"/>
        <v>1.0082261007005912E-3</v>
      </c>
      <c r="K6" s="32">
        <f t="shared" si="2"/>
        <v>10.788446138121051</v>
      </c>
      <c r="L6" s="46">
        <f t="shared" si="7"/>
        <v>0.20747011804078944</v>
      </c>
      <c r="M6" s="29">
        <v>6.28065003688969E-2</v>
      </c>
      <c r="N6">
        <f>K6/$K$5</f>
        <v>0.74620617477760287</v>
      </c>
      <c r="O6">
        <f>L6/$K$5</f>
        <v>1.4350118745723131E-2</v>
      </c>
      <c r="P6">
        <f t="shared" ref="P6:P8" si="9">1/N6</f>
        <v>1.3401122019635352</v>
      </c>
      <c r="Q6">
        <f t="shared" ref="Q6:Q8" si="10">(O6/N6)*P6</f>
        <v>2.5771388499298751E-2</v>
      </c>
      <c r="R6">
        <f t="shared" si="8"/>
        <v>9.2691754419247915E-2</v>
      </c>
    </row>
    <row r="7" spans="1:19" x14ac:dyDescent="0.3">
      <c r="A7" s="29">
        <v>9.98</v>
      </c>
      <c r="B7" s="30">
        <v>84.449339207048467</v>
      </c>
      <c r="C7" s="32">
        <v>0.26431718061673593</v>
      </c>
      <c r="D7" s="30">
        <v>10</v>
      </c>
      <c r="E7" s="43">
        <f t="shared" si="0"/>
        <v>3.1101321585903065E-3</v>
      </c>
      <c r="F7" s="43">
        <f t="shared" si="3"/>
        <v>9.7343729533341384E-6</v>
      </c>
      <c r="G7" s="43">
        <f t="shared" si="4"/>
        <v>3.1101321585903064E-4</v>
      </c>
      <c r="H7" s="43">
        <f t="shared" si="5"/>
        <v>9.7343729533341392E-7</v>
      </c>
      <c r="I7" s="43">
        <f t="shared" si="6"/>
        <v>1.6889867841409693E-3</v>
      </c>
      <c r="J7" s="43">
        <f t="shared" si="1"/>
        <v>1.866619074846711E-3</v>
      </c>
      <c r="K7" s="32">
        <f t="shared" si="2"/>
        <v>1.6661847082247965</v>
      </c>
      <c r="L7" s="46">
        <f t="shared" si="7"/>
        <v>5.2149756125970887E-3</v>
      </c>
      <c r="M7" s="29">
        <v>0.19869389709554328</v>
      </c>
      <c r="N7">
        <f>K7/$K$5</f>
        <v>0.11524526346793271</v>
      </c>
      <c r="O7">
        <f t="shared" ref="O7:O8" si="11">L7/$K$5</f>
        <v>3.6070504997787439E-4</v>
      </c>
      <c r="P7">
        <f t="shared" si="9"/>
        <v>8.6771462002709772</v>
      </c>
      <c r="Q7">
        <f t="shared" si="10"/>
        <v>2.7158517058750671E-2</v>
      </c>
      <c r="R7">
        <f>1/K7</f>
        <v>0.60017355522691729</v>
      </c>
    </row>
    <row r="8" spans="1:19" ht="15" thickBot="1" x14ac:dyDescent="0.35">
      <c r="A8" s="33">
        <v>10.44</v>
      </c>
      <c r="B8" s="34">
        <v>88.864628820960689</v>
      </c>
      <c r="C8" s="47">
        <v>0.5676855895196482</v>
      </c>
      <c r="D8" s="34">
        <v>10</v>
      </c>
      <c r="E8" s="48">
        <f t="shared" si="0"/>
        <v>2.2270742358078623E-3</v>
      </c>
      <c r="F8" s="48">
        <f t="shared" si="3"/>
        <v>1.4227009860197587E-5</v>
      </c>
      <c r="G8" s="48">
        <f t="shared" si="4"/>
        <v>2.2270742358078622E-4</v>
      </c>
      <c r="H8" s="48">
        <f t="shared" si="5"/>
        <v>1.4227009860197587E-6</v>
      </c>
      <c r="I8" s="48">
        <f t="shared" si="6"/>
        <v>1.7772925764192138E-3</v>
      </c>
      <c r="J8" s="48">
        <f t="shared" si="1"/>
        <v>1.9642120683702555E-3</v>
      </c>
      <c r="K8" s="47">
        <f t="shared" si="2"/>
        <v>1.1338257572440782</v>
      </c>
      <c r="L8" s="49">
        <f t="shared" si="7"/>
        <v>7.2431129455395359E-3</v>
      </c>
      <c r="M8" s="29">
        <v>0.25604903337737683</v>
      </c>
      <c r="N8">
        <f>K8/$K$5</f>
        <v>7.8423506994935624E-2</v>
      </c>
      <c r="O8">
        <f t="shared" si="11"/>
        <v>5.0098554837059407E-4</v>
      </c>
      <c r="P8">
        <f t="shared" si="9"/>
        <v>12.751278772378507</v>
      </c>
      <c r="Q8">
        <f t="shared" si="10"/>
        <v>8.1457800511508555E-2</v>
      </c>
      <c r="R8">
        <f>1/K8</f>
        <v>0.88196973266036893</v>
      </c>
      <c r="S8">
        <f>R8-R5</f>
        <v>0.81280257316175697</v>
      </c>
    </row>
    <row r="9" spans="1:19" x14ac:dyDescent="0.3">
      <c r="A9" s="54" t="s">
        <v>97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6"/>
      <c r="M9" s="29"/>
    </row>
    <row r="10" spans="1:19" x14ac:dyDescent="0.3">
      <c r="A10" s="29" t="s">
        <v>39</v>
      </c>
      <c r="B10" s="30" t="s">
        <v>53</v>
      </c>
      <c r="C10" s="36" t="s">
        <v>69</v>
      </c>
      <c r="D10" s="30" t="s">
        <v>65</v>
      </c>
      <c r="E10" s="30" t="s">
        <v>66</v>
      </c>
      <c r="F10" s="36" t="s">
        <v>70</v>
      </c>
      <c r="G10" s="36" t="s">
        <v>89</v>
      </c>
      <c r="H10" s="36" t="s">
        <v>91</v>
      </c>
      <c r="I10" s="44" t="s">
        <v>92</v>
      </c>
      <c r="J10" s="44" t="s">
        <v>93</v>
      </c>
      <c r="K10" s="44" t="s">
        <v>94</v>
      </c>
      <c r="L10" s="45" t="s">
        <v>95</v>
      </c>
    </row>
    <row r="11" spans="1:19" x14ac:dyDescent="0.3">
      <c r="A11" s="29">
        <v>3.46</v>
      </c>
      <c r="B11" s="32">
        <v>26.589595375722546</v>
      </c>
      <c r="C11" s="32">
        <v>3.4682080924855399</v>
      </c>
      <c r="D11" s="30">
        <v>10</v>
      </c>
      <c r="E11" s="43">
        <f t="shared" ref="E11:E16" si="12">((100-B11)/100)*D11*0.02</f>
        <v>0.1468208092485549</v>
      </c>
      <c r="F11" s="43">
        <f>E11*C11/B11</f>
        <v>1.9150540336767975E-2</v>
      </c>
      <c r="G11" s="43">
        <f>E11/D11</f>
        <v>1.4682080924855489E-2</v>
      </c>
      <c r="H11" s="43">
        <f>F11/D11</f>
        <v>1.9150540336767975E-3</v>
      </c>
      <c r="I11" s="43">
        <f>0.02-G11</f>
        <v>5.3179190751445112E-3</v>
      </c>
      <c r="J11" s="43">
        <f t="shared" ref="J11:J16" si="13">I11*EXP(D11/100)</f>
        <v>5.8772095065294586E-3</v>
      </c>
      <c r="K11" s="32">
        <f t="shared" ref="K11:K16" si="14">E11/J11</f>
        <v>24.98138088925365</v>
      </c>
      <c r="L11" s="46">
        <f>F11/J11</f>
        <v>3.2584409855548149</v>
      </c>
    </row>
    <row r="12" spans="1:19" x14ac:dyDescent="0.3">
      <c r="A12" s="29">
        <v>5.01</v>
      </c>
      <c r="B12" s="32">
        <v>12.499999999999993</v>
      </c>
      <c r="C12" s="32">
        <v>1.4534883720930183</v>
      </c>
      <c r="D12" s="30">
        <v>10</v>
      </c>
      <c r="E12" s="43">
        <f t="shared" si="12"/>
        <v>0.17500000000000002</v>
      </c>
      <c r="F12" s="43">
        <f t="shared" ref="F12:F16" si="15">E12*C12/B12</f>
        <v>2.0348837209302272E-2</v>
      </c>
      <c r="G12" s="43">
        <f t="shared" ref="G12:G16" si="16">E12/D12</f>
        <v>1.7500000000000002E-2</v>
      </c>
      <c r="H12" s="43">
        <f t="shared" ref="H12:H16" si="17">F12/D12</f>
        <v>2.0348837209302273E-3</v>
      </c>
      <c r="I12" s="43">
        <f t="shared" ref="I12:I16" si="18">0.02-G12</f>
        <v>2.4999999999999988E-3</v>
      </c>
      <c r="J12" s="43">
        <f t="shared" si="13"/>
        <v>2.762927295189118E-3</v>
      </c>
      <c r="K12" s="32">
        <f t="shared" si="14"/>
        <v>63.338619262517199</v>
      </c>
      <c r="L12" s="46">
        <f t="shared" ref="L12:L16" si="19">F12/J12</f>
        <v>7.3649557281996545</v>
      </c>
    </row>
    <row r="13" spans="1:19" x14ac:dyDescent="0.3">
      <c r="A13" s="29">
        <v>6.86</v>
      </c>
      <c r="B13" s="32">
        <v>17.065868263473053</v>
      </c>
      <c r="C13" s="32">
        <v>3.8922155688622677</v>
      </c>
      <c r="D13" s="30">
        <v>10</v>
      </c>
      <c r="E13" s="43">
        <f t="shared" si="12"/>
        <v>0.16586826347305392</v>
      </c>
      <c r="F13" s="43">
        <f t="shared" si="15"/>
        <v>3.7829603949994677E-2</v>
      </c>
      <c r="G13" s="43">
        <f>E13/D13</f>
        <v>1.6586826347305392E-2</v>
      </c>
      <c r="H13" s="43">
        <f t="shared" si="17"/>
        <v>3.7829603949994677E-3</v>
      </c>
      <c r="I13" s="43">
        <f>0.02-G13</f>
        <v>3.4131736526946087E-3</v>
      </c>
      <c r="J13" s="43">
        <f t="shared" si="13"/>
        <v>3.7721402593001124E-3</v>
      </c>
      <c r="K13" s="32">
        <f t="shared" si="14"/>
        <v>43.971923648414212</v>
      </c>
      <c r="L13" s="46">
        <f>F13/J13</f>
        <v>10.028684340866379</v>
      </c>
      <c r="M13" s="29">
        <v>0</v>
      </c>
      <c r="N13">
        <f>K13/$K$13</f>
        <v>1</v>
      </c>
      <c r="O13">
        <f>L13/$K$13</f>
        <v>0.22807017543859603</v>
      </c>
      <c r="P13">
        <f>1/N13</f>
        <v>1</v>
      </c>
      <c r="Q13">
        <f>(O13/N13)*P13</f>
        <v>0.22807017543859603</v>
      </c>
      <c r="R13">
        <f t="shared" ref="R13:R14" si="20">1/K13</f>
        <v>2.2741784234769625E-2</v>
      </c>
    </row>
    <row r="14" spans="1:19" x14ac:dyDescent="0.3">
      <c r="A14" s="29">
        <v>8.5</v>
      </c>
      <c r="B14" s="32">
        <v>29.26136363636364</v>
      </c>
      <c r="C14" s="32">
        <v>2.7963680038320873</v>
      </c>
      <c r="D14" s="30">
        <v>10</v>
      </c>
      <c r="E14" s="43">
        <f t="shared" si="12"/>
        <v>0.14147727272727273</v>
      </c>
      <c r="F14" s="43">
        <f t="shared" si="15"/>
        <v>1.3520303552508536E-2</v>
      </c>
      <c r="G14" s="43">
        <f t="shared" si="16"/>
        <v>1.4147727272727274E-2</v>
      </c>
      <c r="H14" s="43">
        <f t="shared" si="17"/>
        <v>1.3520303552508536E-3</v>
      </c>
      <c r="I14" s="43">
        <f t="shared" si="18"/>
        <v>5.8522727272727268E-3</v>
      </c>
      <c r="J14" s="43">
        <f t="shared" si="13"/>
        <v>6.4677616228290737E-3</v>
      </c>
      <c r="K14" s="32">
        <f t="shared" si="14"/>
        <v>21.874224960286792</v>
      </c>
      <c r="L14" s="46">
        <f t="shared" si="19"/>
        <v>2.090414635070394</v>
      </c>
      <c r="M14" s="29">
        <v>6.28065003688969E-2</v>
      </c>
      <c r="N14">
        <f>K14/$K$13</f>
        <v>0.4974589043496544</v>
      </c>
      <c r="O14">
        <f>L14/$K$13</f>
        <v>4.7539758591975588E-2</v>
      </c>
      <c r="P14">
        <f>1/N14</f>
        <v>2.0102163038117395</v>
      </c>
      <c r="Q14">
        <f t="shared" ref="Q14:Q16" si="21">(O14/N14)*P14</f>
        <v>0.19210671869628973</v>
      </c>
      <c r="R14">
        <f t="shared" si="20"/>
        <v>4.571590544650269E-2</v>
      </c>
    </row>
    <row r="15" spans="1:19" x14ac:dyDescent="0.3">
      <c r="A15" s="29">
        <v>9.9700000000000006</v>
      </c>
      <c r="B15" s="32">
        <v>62.154696132596683</v>
      </c>
      <c r="C15" s="32">
        <v>3.0386740331491673</v>
      </c>
      <c r="D15" s="30">
        <v>10</v>
      </c>
      <c r="E15" s="43">
        <f t="shared" si="12"/>
        <v>7.5690607734806639E-2</v>
      </c>
      <c r="F15" s="43">
        <f t="shared" si="15"/>
        <v>3.7004297114794308E-3</v>
      </c>
      <c r="G15" s="43">
        <f t="shared" si="16"/>
        <v>7.5690607734806639E-3</v>
      </c>
      <c r="H15" s="43">
        <f t="shared" si="17"/>
        <v>3.700429711479431E-4</v>
      </c>
      <c r="I15" s="43">
        <f t="shared" si="18"/>
        <v>1.2430939226519336E-2</v>
      </c>
      <c r="J15" s="43">
        <f t="shared" si="13"/>
        <v>1.3738312517514957E-2</v>
      </c>
      <c r="K15" s="32">
        <f t="shared" si="14"/>
        <v>5.5094545009300653</v>
      </c>
      <c r="L15" s="46">
        <f t="shared" si="19"/>
        <v>0.26935110893435837</v>
      </c>
      <c r="M15" s="29">
        <v>0.25604903337737683</v>
      </c>
      <c r="N15">
        <f>K15/$K$13</f>
        <v>0.12529482551143192</v>
      </c>
      <c r="O15">
        <f t="shared" ref="O15:O16" si="22">L15/$K$13</f>
        <v>6.1255248027811075E-3</v>
      </c>
      <c r="P15">
        <f t="shared" ref="P15:P16" si="23">1/N15</f>
        <v>7.9811755666538664</v>
      </c>
      <c r="Q15">
        <f t="shared" si="21"/>
        <v>0.39019080548085516</v>
      </c>
      <c r="R15">
        <f>1/K15</f>
        <v>0.18150617267665745</v>
      </c>
    </row>
    <row r="16" spans="1:19" ht="15" thickBot="1" x14ac:dyDescent="0.35">
      <c r="A16" s="33">
        <v>10.52</v>
      </c>
      <c r="B16" s="47">
        <v>63.783783783783782</v>
      </c>
      <c r="C16" s="47">
        <v>2.7027027027027017</v>
      </c>
      <c r="D16" s="34">
        <v>10</v>
      </c>
      <c r="E16" s="48">
        <f t="shared" si="12"/>
        <v>7.2432432432432442E-2</v>
      </c>
      <c r="F16" s="48">
        <f t="shared" si="15"/>
        <v>3.0691708657810345E-3</v>
      </c>
      <c r="G16" s="48">
        <f t="shared" si="16"/>
        <v>7.243243243243244E-3</v>
      </c>
      <c r="H16" s="48">
        <f t="shared" si="17"/>
        <v>3.0691708657810344E-4</v>
      </c>
      <c r="I16" s="48">
        <f t="shared" si="18"/>
        <v>1.2756756756756756E-2</v>
      </c>
      <c r="J16" s="48">
        <f t="shared" si="13"/>
        <v>1.4098396576532586E-2</v>
      </c>
      <c r="K16" s="47">
        <f t="shared" si="14"/>
        <v>5.1376361871533307</v>
      </c>
      <c r="L16" s="49">
        <f t="shared" si="19"/>
        <v>0.21769644860819187</v>
      </c>
      <c r="M16" s="29">
        <v>0.19869389709554328</v>
      </c>
      <c r="N16">
        <f>K16/$K$13</f>
        <v>0.11683901364498554</v>
      </c>
      <c r="O16">
        <f t="shared" si="22"/>
        <v>4.9508056629231139E-3</v>
      </c>
      <c r="P16">
        <f t="shared" si="23"/>
        <v>8.5587850222571404</v>
      </c>
      <c r="Q16">
        <f t="shared" si="21"/>
        <v>0.36266038229903119</v>
      </c>
      <c r="R16">
        <f>1/K16</f>
        <v>0.19464204228794985</v>
      </c>
    </row>
    <row r="18" spans="1:21" ht="15" thickBot="1" x14ac:dyDescent="0.35"/>
    <row r="19" spans="1:21" x14ac:dyDescent="0.3">
      <c r="A19" s="57" t="s">
        <v>98</v>
      </c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9"/>
    </row>
    <row r="20" spans="1:21" x14ac:dyDescent="0.3">
      <c r="A20" s="29" t="s">
        <v>39</v>
      </c>
      <c r="B20" s="30" t="s">
        <v>53</v>
      </c>
      <c r="C20" s="36" t="s">
        <v>90</v>
      </c>
      <c r="D20" s="30" t="s">
        <v>65</v>
      </c>
      <c r="E20" s="30" t="s">
        <v>66</v>
      </c>
      <c r="F20" s="36" t="s">
        <v>70</v>
      </c>
      <c r="G20" s="36" t="s">
        <v>89</v>
      </c>
      <c r="H20" s="36" t="s">
        <v>91</v>
      </c>
      <c r="I20" s="44" t="s">
        <v>92</v>
      </c>
      <c r="J20" s="44" t="s">
        <v>93</v>
      </c>
      <c r="K20" s="44" t="s">
        <v>94</v>
      </c>
      <c r="L20" s="45" t="s">
        <v>95</v>
      </c>
      <c r="M20" s="29" t="s">
        <v>50</v>
      </c>
      <c r="N20" s="44" t="s">
        <v>104</v>
      </c>
      <c r="P20" t="s">
        <v>106</v>
      </c>
      <c r="R20" t="s">
        <v>105</v>
      </c>
    </row>
    <row r="21" spans="1:21" x14ac:dyDescent="0.3">
      <c r="A21" s="29">
        <v>3.5</v>
      </c>
      <c r="B21" s="32">
        <v>34.005037783375322</v>
      </c>
      <c r="C21" s="32">
        <v>1.9658116710880789</v>
      </c>
      <c r="D21" s="30">
        <v>10</v>
      </c>
      <c r="E21" s="43">
        <f t="shared" ref="E21:E26" si="24">((100-B21)/100)*D21*0.002</f>
        <v>1.3198992443324937E-2</v>
      </c>
      <c r="F21" s="43">
        <f>E21*C21/B21</f>
        <v>7.630261597408541E-4</v>
      </c>
      <c r="G21" s="43">
        <f>E21/D21</f>
        <v>1.3198992443324937E-3</v>
      </c>
      <c r="H21" s="43">
        <f>F21/D21</f>
        <v>7.6302615974085407E-5</v>
      </c>
      <c r="I21" s="43">
        <f>0.002-G21</f>
        <v>6.8010075566750632E-4</v>
      </c>
      <c r="J21" s="43">
        <f t="shared" ref="J21:J26" si="25">I21*EXP(D21/100)</f>
        <v>7.5162757652499977E-4</v>
      </c>
      <c r="K21" s="32">
        <f t="shared" ref="K21:K26" si="26">E21/J21</f>
        <v>17.560548409290472</v>
      </c>
      <c r="L21" s="46">
        <f>F21/J21</f>
        <v>1.0151652009211176</v>
      </c>
      <c r="R21">
        <f>1/K21</f>
        <v>5.6945829748172687E-2</v>
      </c>
    </row>
    <row r="22" spans="1:21" x14ac:dyDescent="0.3">
      <c r="A22" s="29">
        <v>4.9000000000000004</v>
      </c>
      <c r="B22" s="32">
        <v>17.503217503217499</v>
      </c>
      <c r="C22" s="32">
        <v>2.013104797365914</v>
      </c>
      <c r="D22" s="30">
        <v>10</v>
      </c>
      <c r="E22" s="43">
        <f t="shared" si="24"/>
        <v>1.64993564993565E-2</v>
      </c>
      <c r="F22" s="43">
        <f t="shared" ref="F22:F26" si="27">E22*C22/B22</f>
        <v>1.8976473163405166E-3</v>
      </c>
      <c r="G22" s="43">
        <f t="shared" ref="G22:G26" si="28">E22/D22</f>
        <v>1.6499356499356499E-3</v>
      </c>
      <c r="H22" s="43">
        <f t="shared" ref="H22:H26" si="29">F22/D22</f>
        <v>1.8976473163405166E-4</v>
      </c>
      <c r="I22" s="43">
        <f t="shared" ref="I22:I26" si="30">0.002-G22</f>
        <v>3.5006435006435009E-4</v>
      </c>
      <c r="J22" s="43">
        <f t="shared" si="25"/>
        <v>3.868809391461727E-4</v>
      </c>
      <c r="K22" s="32">
        <f t="shared" si="26"/>
        <v>42.647116541253681</v>
      </c>
      <c r="L22" s="46">
        <f t="shared" ref="L22:L26" si="31">F22/J22</f>
        <v>4.904990461738775</v>
      </c>
      <c r="R22">
        <f t="shared" ref="R22:R26" si="32">1/K22</f>
        <v>2.3448244127658047E-2</v>
      </c>
      <c r="S22">
        <f>R22</f>
        <v>2.3448244127658047E-2</v>
      </c>
    </row>
    <row r="23" spans="1:21" x14ac:dyDescent="0.3">
      <c r="A23" s="29">
        <v>6.25</v>
      </c>
      <c r="B23" s="32">
        <v>36.609336609336616</v>
      </c>
      <c r="C23" s="32">
        <v>5.2043619542398858</v>
      </c>
      <c r="D23" s="30">
        <v>10</v>
      </c>
      <c r="E23" s="43">
        <f t="shared" si="24"/>
        <v>1.2678132678132677E-2</v>
      </c>
      <c r="F23" s="43">
        <f t="shared" si="27"/>
        <v>1.8023159519381076E-3</v>
      </c>
      <c r="G23" s="43">
        <f t="shared" si="28"/>
        <v>1.2678132678132677E-3</v>
      </c>
      <c r="H23" s="43">
        <f t="shared" si="29"/>
        <v>1.8023159519381076E-4</v>
      </c>
      <c r="I23" s="43">
        <f t="shared" si="30"/>
        <v>7.3218673218673237E-4</v>
      </c>
      <c r="J23" s="43">
        <f t="shared" si="25"/>
        <v>8.0919148301361946E-4</v>
      </c>
      <c r="K23" s="32">
        <f t="shared" si="26"/>
        <v>15.667654621025333</v>
      </c>
      <c r="L23" s="46">
        <f t="shared" si="31"/>
        <v>2.2273046488648878</v>
      </c>
      <c r="M23" s="29">
        <v>0</v>
      </c>
      <c r="N23">
        <f>K23/$K$23</f>
        <v>1</v>
      </c>
      <c r="O23">
        <f>L23/$K$23</f>
        <v>0.14215941713930422</v>
      </c>
      <c r="P23">
        <f>1/N23</f>
        <v>1</v>
      </c>
      <c r="Q23">
        <f>(O23/N23)*P23</f>
        <v>0.14215941713930422</v>
      </c>
      <c r="R23">
        <f t="shared" si="32"/>
        <v>6.3825762322973476E-2</v>
      </c>
      <c r="S23">
        <f>R23-R22</f>
        <v>4.0377518195315432E-2</v>
      </c>
    </row>
    <row r="24" spans="1:21" x14ac:dyDescent="0.3">
      <c r="A24" s="29">
        <v>8.6</v>
      </c>
      <c r="B24" s="32">
        <v>54.888221554888219</v>
      </c>
      <c r="C24" s="32">
        <v>2.7384081412941987</v>
      </c>
      <c r="D24" s="30">
        <v>10</v>
      </c>
      <c r="E24" s="43">
        <f t="shared" si="24"/>
        <v>9.0223556890223575E-3</v>
      </c>
      <c r="F24" s="43">
        <f t="shared" si="27"/>
        <v>4.5013104036835958E-4</v>
      </c>
      <c r="G24" s="43">
        <f t="shared" si="28"/>
        <v>9.022355689022358E-4</v>
      </c>
      <c r="H24" s="43">
        <f t="shared" si="29"/>
        <v>4.5013104036835961E-5</v>
      </c>
      <c r="I24" s="43">
        <f t="shared" si="30"/>
        <v>1.0977644310977642E-3</v>
      </c>
      <c r="J24" s="43">
        <f t="shared" si="25"/>
        <v>1.2132173241471073E-3</v>
      </c>
      <c r="K24" s="32">
        <f t="shared" si="26"/>
        <v>7.4367184752864288</v>
      </c>
      <c r="L24" s="46">
        <f t="shared" si="31"/>
        <v>0.37102259538273741</v>
      </c>
      <c r="M24" s="29">
        <v>7.2606655016755867E-2</v>
      </c>
      <c r="N24">
        <f>K24/$K$23</f>
        <v>0.4746542258664973</v>
      </c>
      <c r="O24">
        <f>L24/$K$23</f>
        <v>2.3680799989351353E-2</v>
      </c>
      <c r="P24">
        <f t="shared" ref="P24:P26" si="33">1/N24</f>
        <v>2.1067967912314827</v>
      </c>
      <c r="Q24">
        <f t="shared" ref="Q24:Q26" si="34">(O24/N24)*P24</f>
        <v>0.1051094264256953</v>
      </c>
      <c r="R24">
        <f t="shared" si="32"/>
        <v>0.13446791125994378</v>
      </c>
    </row>
    <row r="25" spans="1:21" x14ac:dyDescent="0.3">
      <c r="A25" s="29">
        <v>9.9</v>
      </c>
      <c r="B25" s="32">
        <v>72.13709013016971</v>
      </c>
      <c r="C25" s="32">
        <v>2.5277303156653721</v>
      </c>
      <c r="D25" s="30">
        <v>10</v>
      </c>
      <c r="E25" s="43">
        <f t="shared" si="24"/>
        <v>5.572581973966058E-3</v>
      </c>
      <c r="F25" s="43">
        <f t="shared" si="27"/>
        <v>1.9526687819964116E-4</v>
      </c>
      <c r="G25" s="43">
        <f t="shared" si="28"/>
        <v>5.5725819739660583E-4</v>
      </c>
      <c r="H25" s="43">
        <f t="shared" si="29"/>
        <v>1.9526687819964117E-5</v>
      </c>
      <c r="I25" s="43">
        <f t="shared" si="30"/>
        <v>1.4427418026033943E-3</v>
      </c>
      <c r="J25" s="43">
        <f t="shared" si="25"/>
        <v>1.5944762825293082E-3</v>
      </c>
      <c r="K25" s="32">
        <f t="shared" si="26"/>
        <v>3.4949293602074185</v>
      </c>
      <c r="L25" s="46">
        <f t="shared" si="31"/>
        <v>0.12246458623385134</v>
      </c>
      <c r="M25" s="29">
        <v>0.25964450055712218</v>
      </c>
      <c r="N25">
        <f>K25/$K$23</f>
        <v>0.22306653068018045</v>
      </c>
      <c r="O25">
        <f t="shared" ref="O25:O26" si="35">L25/$K$23</f>
        <v>7.8163955739430861E-3</v>
      </c>
      <c r="P25">
        <f t="shared" si="33"/>
        <v>4.4829674669291411</v>
      </c>
      <c r="Q25">
        <f t="shared" si="34"/>
        <v>0.15708608081987424</v>
      </c>
      <c r="R25">
        <f t="shared" si="32"/>
        <v>0.28612881604584178</v>
      </c>
    </row>
    <row r="26" spans="1:21" ht="15" thickBot="1" x14ac:dyDescent="0.35">
      <c r="A26" s="33">
        <v>10.49</v>
      </c>
      <c r="B26" s="47">
        <v>75.512195121951223</v>
      </c>
      <c r="C26" s="47">
        <v>3.6649266687897875</v>
      </c>
      <c r="D26" s="34">
        <v>10</v>
      </c>
      <c r="E26" s="48">
        <f t="shared" si="24"/>
        <v>4.8975609756097549E-3</v>
      </c>
      <c r="F26" s="48">
        <f t="shared" si="27"/>
        <v>2.376993782600094E-4</v>
      </c>
      <c r="G26" s="48">
        <f t="shared" si="28"/>
        <v>4.8975609756097551E-4</v>
      </c>
      <c r="H26" s="48">
        <f t="shared" si="29"/>
        <v>2.3769937826000942E-5</v>
      </c>
      <c r="I26" s="48">
        <f t="shared" si="30"/>
        <v>1.5102439024390246E-3</v>
      </c>
      <c r="J26" s="48">
        <f t="shared" si="25"/>
        <v>1.6690776401766859E-3</v>
      </c>
      <c r="K26" s="47">
        <f t="shared" si="26"/>
        <v>2.9342918853620894</v>
      </c>
      <c r="L26" s="49">
        <f t="shared" si="31"/>
        <v>0.14241361368596786</v>
      </c>
      <c r="M26" s="29">
        <v>0.24232378783949327</v>
      </c>
      <c r="N26">
        <f>K26/$K$23</f>
        <v>0.18728341646135047</v>
      </c>
      <c r="O26">
        <f t="shared" si="35"/>
        <v>9.0896574586763479E-3</v>
      </c>
      <c r="P26">
        <f t="shared" si="33"/>
        <v>5.3395010561779728</v>
      </c>
      <c r="Q26">
        <f t="shared" si="34"/>
        <v>0.25914860225178726</v>
      </c>
      <c r="R26">
        <f t="shared" si="32"/>
        <v>0.34079772533488117</v>
      </c>
      <c r="S26">
        <f>R26-R23</f>
        <v>0.27697196301190768</v>
      </c>
    </row>
    <row r="27" spans="1:21" x14ac:dyDescent="0.3">
      <c r="A27" s="57" t="s">
        <v>99</v>
      </c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9"/>
    </row>
    <row r="28" spans="1:21" x14ac:dyDescent="0.3">
      <c r="A28" s="29" t="s">
        <v>39</v>
      </c>
      <c r="B28" s="30" t="s">
        <v>53</v>
      </c>
      <c r="C28" s="36" t="s">
        <v>69</v>
      </c>
      <c r="D28" s="30" t="s">
        <v>65</v>
      </c>
      <c r="E28" s="30" t="s">
        <v>66</v>
      </c>
      <c r="F28" s="36" t="s">
        <v>70</v>
      </c>
      <c r="G28" s="36" t="s">
        <v>89</v>
      </c>
      <c r="H28" s="36" t="s">
        <v>91</v>
      </c>
      <c r="I28" s="44" t="s">
        <v>92</v>
      </c>
      <c r="J28" s="44" t="s">
        <v>93</v>
      </c>
      <c r="K28" s="44" t="s">
        <v>94</v>
      </c>
      <c r="L28" s="45" t="s">
        <v>95</v>
      </c>
    </row>
    <row r="29" spans="1:21" x14ac:dyDescent="0.3">
      <c r="A29" s="29">
        <v>3.55</v>
      </c>
      <c r="B29" s="32">
        <v>27.352510970258418</v>
      </c>
      <c r="C29" s="32">
        <v>4.8292934917920691</v>
      </c>
      <c r="D29" s="30">
        <v>10</v>
      </c>
      <c r="E29" s="43">
        <f t="shared" ref="E29:E34" si="36">((100-B29)/100)*D29*0.02</f>
        <v>0.14529497805948316</v>
      </c>
      <c r="F29" s="43">
        <f>E29*C29/B29</f>
        <v>2.5652931560678004E-2</v>
      </c>
      <c r="G29" s="43">
        <f>E29/D29</f>
        <v>1.4529497805948316E-2</v>
      </c>
      <c r="H29" s="43">
        <f>F29/D29</f>
        <v>2.5652931560678004E-3</v>
      </c>
      <c r="I29" s="43">
        <f>0.02-G29</f>
        <v>5.4705021940516848E-3</v>
      </c>
      <c r="J29" s="43">
        <f t="shared" ref="J29:J34" si="37">I29*EXP(D29/100)</f>
        <v>6.0458399321349455E-3</v>
      </c>
      <c r="K29" s="32">
        <f t="shared" ref="K29:K34" si="38">E29/J29</f>
        <v>24.032223758887323</v>
      </c>
      <c r="L29" s="46">
        <f>F29/J29</f>
        <v>4.2430715746090346</v>
      </c>
    </row>
    <row r="30" spans="1:21" x14ac:dyDescent="0.3">
      <c r="A30" s="29">
        <v>5.0999999999999996</v>
      </c>
      <c r="B30" s="32">
        <v>7.8270388615216184</v>
      </c>
      <c r="C30" s="32">
        <v>2.6215500853482285</v>
      </c>
      <c r="D30" s="30">
        <v>10</v>
      </c>
      <c r="E30" s="43">
        <f t="shared" si="36"/>
        <v>0.18434592227695679</v>
      </c>
      <c r="F30" s="43">
        <f t="shared" ref="F30:F34" si="39">E30*C30/B30</f>
        <v>6.1743920891278579E-2</v>
      </c>
      <c r="G30" s="43">
        <f t="shared" ref="G30" si="40">E30/D30</f>
        <v>1.8434592227695678E-2</v>
      </c>
      <c r="H30" s="43">
        <f t="shared" ref="H30:H34" si="41">F30/D30</f>
        <v>6.1743920891278578E-3</v>
      </c>
      <c r="I30" s="43">
        <f t="shared" ref="I30" si="42">0.02-G30</f>
        <v>1.5654077723043225E-3</v>
      </c>
      <c r="J30" s="43">
        <f t="shared" si="37"/>
        <v>1.7300431448803225E-3</v>
      </c>
      <c r="K30" s="32">
        <f t="shared" si="38"/>
        <v>106.55567915892011</v>
      </c>
      <c r="L30" s="46">
        <f t="shared" ref="L30" si="43">F30/J30</f>
        <v>35.689237620458172</v>
      </c>
      <c r="T30">
        <v>25.4</v>
      </c>
      <c r="U30">
        <v>2.3448244127658047E-2</v>
      </c>
    </row>
    <row r="31" spans="1:21" x14ac:dyDescent="0.3">
      <c r="A31" s="29">
        <v>6.85</v>
      </c>
      <c r="B31" s="32">
        <v>19.114219114219114</v>
      </c>
      <c r="C31" s="32">
        <v>3.8456418024125925</v>
      </c>
      <c r="D31" s="30">
        <v>10</v>
      </c>
      <c r="E31" s="43">
        <f t="shared" si="36"/>
        <v>0.16177156177156179</v>
      </c>
      <c r="F31" s="43">
        <f t="shared" si="39"/>
        <v>3.2547261108223653E-2</v>
      </c>
      <c r="G31" s="43">
        <f>E31/D31</f>
        <v>1.617715617715618E-2</v>
      </c>
      <c r="H31" s="43">
        <f t="shared" si="41"/>
        <v>3.2547261108223655E-3</v>
      </c>
      <c r="I31" s="43">
        <f>0.02-G31</f>
        <v>3.8228438228438202E-3</v>
      </c>
      <c r="J31" s="43">
        <f t="shared" si="37"/>
        <v>4.2248958173521237E-3</v>
      </c>
      <c r="K31" s="32">
        <f t="shared" si="38"/>
        <v>38.290071226643683</v>
      </c>
      <c r="L31" s="46">
        <f>F31/J31</f>
        <v>7.7036837155956324</v>
      </c>
      <c r="M31" s="29">
        <v>0</v>
      </c>
      <c r="N31">
        <f>K31/$K$31</f>
        <v>1</v>
      </c>
      <c r="O31">
        <f>L31/$K$31</f>
        <v>0.20119272356524417</v>
      </c>
      <c r="P31">
        <f>1/N31</f>
        <v>1</v>
      </c>
      <c r="Q31">
        <f>(O31/N31)*P31</f>
        <v>0.20119272356524417</v>
      </c>
      <c r="R31">
        <f t="shared" ref="R31:R32" si="44">1/K31</f>
        <v>2.6116430917061395E-2</v>
      </c>
      <c r="T31">
        <v>56.4</v>
      </c>
      <c r="U31">
        <v>4.0456351114881405E-2</v>
      </c>
    </row>
    <row r="32" spans="1:21" x14ac:dyDescent="0.3">
      <c r="A32" s="29">
        <v>9.0399999999999991</v>
      </c>
      <c r="B32" s="32">
        <v>38.238238238238239</v>
      </c>
      <c r="C32" s="32">
        <v>4.8511555895543568</v>
      </c>
      <c r="D32" s="30">
        <v>10</v>
      </c>
      <c r="E32" s="43">
        <f t="shared" si="36"/>
        <v>0.12352352352352351</v>
      </c>
      <c r="F32" s="43">
        <f t="shared" si="39"/>
        <v>1.5671010464686063E-2</v>
      </c>
      <c r="G32" s="43">
        <f t="shared" ref="G32:G34" si="45">E32/D32</f>
        <v>1.2352352352352351E-2</v>
      </c>
      <c r="H32" s="43">
        <f t="shared" si="41"/>
        <v>1.5671010464686063E-3</v>
      </c>
      <c r="I32" s="43">
        <f t="shared" ref="I32:I34" si="46">0.02-G32</f>
        <v>7.6476476476476495E-3</v>
      </c>
      <c r="J32" s="43">
        <f t="shared" si="37"/>
        <v>8.4519577718698211E-3</v>
      </c>
      <c r="K32" s="32">
        <f t="shared" si="38"/>
        <v>14.614782380319026</v>
      </c>
      <c r="L32" s="46">
        <f t="shared" ref="L32:L34" si="47">F32/J32</f>
        <v>1.8541278704494966</v>
      </c>
      <c r="M32" s="29">
        <v>7.2606655016755867E-2</v>
      </c>
      <c r="N32">
        <f>K32/$K$31</f>
        <v>0.38168595440348796</v>
      </c>
      <c r="O32">
        <f>L32/$K$31</f>
        <v>4.8423202439992437E-2</v>
      </c>
      <c r="P32">
        <f t="shared" ref="P32:P34" si="48">1/N32</f>
        <v>2.6199549353678333</v>
      </c>
      <c r="Q32">
        <f t="shared" ref="Q32:Q34" si="49">(O32/N32)*P32</f>
        <v>0.33238479633667795</v>
      </c>
      <c r="R32">
        <f t="shared" si="44"/>
        <v>6.8423872075348072E-2</v>
      </c>
      <c r="T32">
        <v>111.5</v>
      </c>
      <c r="U32">
        <v>9.9017340362723527E-2</v>
      </c>
    </row>
    <row r="33" spans="1:19" x14ac:dyDescent="0.3">
      <c r="A33" s="29">
        <v>10.02</v>
      </c>
      <c r="B33" s="32">
        <v>45.243282498184463</v>
      </c>
      <c r="C33" s="32">
        <v>2.1887625352477182</v>
      </c>
      <c r="D33" s="30">
        <v>10</v>
      </c>
      <c r="E33" s="43">
        <f t="shared" si="36"/>
        <v>0.10951343500363107</v>
      </c>
      <c r="F33" s="43">
        <f t="shared" si="39"/>
        <v>5.2979998445482485E-3</v>
      </c>
      <c r="G33" s="43">
        <f t="shared" si="45"/>
        <v>1.0951343500363107E-2</v>
      </c>
      <c r="H33" s="43">
        <f t="shared" si="41"/>
        <v>5.297999844548248E-4</v>
      </c>
      <c r="I33" s="43">
        <f t="shared" si="46"/>
        <v>9.048656499636893E-3</v>
      </c>
      <c r="J33" s="43">
        <f t="shared" si="37"/>
        <v>1.0000312011054882E-2</v>
      </c>
      <c r="K33" s="32">
        <f t="shared" si="38"/>
        <v>10.951001817000215</v>
      </c>
      <c r="L33" s="46">
        <f t="shared" si="47"/>
        <v>0.52978345462537124</v>
      </c>
      <c r="M33" s="29">
        <v>0.25964450055712218</v>
      </c>
      <c r="N33">
        <f>K33/$K$31</f>
        <v>0.2860010824262999</v>
      </c>
      <c r="O33">
        <f t="shared" ref="O33:O34" si="50">L33/$K$31</f>
        <v>1.3836052993725638E-2</v>
      </c>
      <c r="P33">
        <f t="shared" si="48"/>
        <v>3.4964902633111246</v>
      </c>
      <c r="Q33">
        <f t="shared" si="49"/>
        <v>0.16915189328937222</v>
      </c>
      <c r="R33">
        <f>1/K33</f>
        <v>9.1315846413942789E-2</v>
      </c>
    </row>
    <row r="34" spans="1:19" ht="15" thickBot="1" x14ac:dyDescent="0.35">
      <c r="A34" s="33">
        <v>10.45</v>
      </c>
      <c r="B34" s="47">
        <v>47.727272727272727</v>
      </c>
      <c r="C34" s="47">
        <v>8.1581942688226707</v>
      </c>
      <c r="D34" s="34">
        <v>10</v>
      </c>
      <c r="E34" s="48">
        <f t="shared" si="36"/>
        <v>0.10454545454545454</v>
      </c>
      <c r="F34" s="48">
        <f t="shared" si="39"/>
        <v>1.7870330303135371E-2</v>
      </c>
      <c r="G34" s="48">
        <f t="shared" si="45"/>
        <v>1.0454545454545454E-2</v>
      </c>
      <c r="H34" s="48">
        <f t="shared" si="41"/>
        <v>1.7870330303135372E-3</v>
      </c>
      <c r="I34" s="48">
        <f t="shared" si="46"/>
        <v>9.5454545454545462E-3</v>
      </c>
      <c r="J34" s="48">
        <f t="shared" si="37"/>
        <v>1.0549358763449364E-2</v>
      </c>
      <c r="K34" s="47">
        <f t="shared" si="38"/>
        <v>9.9101241022986031</v>
      </c>
      <c r="L34" s="49">
        <f t="shared" si="47"/>
        <v>1.6939731318126336</v>
      </c>
      <c r="M34" s="29">
        <v>0.24232378783949327</v>
      </c>
      <c r="N34">
        <f>K34/$K$31</f>
        <v>0.25881707149718652</v>
      </c>
      <c r="O34">
        <f t="shared" si="50"/>
        <v>4.4240532272342779E-2</v>
      </c>
      <c r="P34">
        <f t="shared" si="48"/>
        <v>3.863732767762464</v>
      </c>
      <c r="Q34">
        <f t="shared" si="49"/>
        <v>0.66044172903703424</v>
      </c>
      <c r="R34">
        <f>1/K34</f>
        <v>0.1009069099112548</v>
      </c>
    </row>
    <row r="36" spans="1:19" ht="15" thickBot="1" x14ac:dyDescent="0.35"/>
    <row r="37" spans="1:19" x14ac:dyDescent="0.3">
      <c r="A37" s="60" t="s">
        <v>101</v>
      </c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2"/>
    </row>
    <row r="38" spans="1:19" x14ac:dyDescent="0.3">
      <c r="A38" s="29" t="s">
        <v>39</v>
      </c>
      <c r="B38" s="30" t="s">
        <v>53</v>
      </c>
      <c r="C38" s="36" t="s">
        <v>90</v>
      </c>
      <c r="D38" s="30" t="s">
        <v>65</v>
      </c>
      <c r="E38" s="30" t="s">
        <v>66</v>
      </c>
      <c r="F38" s="36" t="s">
        <v>70</v>
      </c>
      <c r="G38" s="36" t="s">
        <v>89</v>
      </c>
      <c r="H38" s="36" t="s">
        <v>91</v>
      </c>
      <c r="I38" s="44" t="s">
        <v>92</v>
      </c>
      <c r="J38" s="44" t="s">
        <v>93</v>
      </c>
      <c r="K38" s="44" t="s">
        <v>94</v>
      </c>
      <c r="L38" s="45" t="s">
        <v>95</v>
      </c>
      <c r="M38" s="29" t="s">
        <v>50</v>
      </c>
      <c r="N38" s="44" t="s">
        <v>104</v>
      </c>
      <c r="P38" t="s">
        <v>106</v>
      </c>
      <c r="R38" t="s">
        <v>105</v>
      </c>
    </row>
    <row r="39" spans="1:19" x14ac:dyDescent="0.3">
      <c r="A39" s="29">
        <v>3.5</v>
      </c>
      <c r="B39" s="32">
        <v>35.183044315992298</v>
      </c>
      <c r="C39" s="32">
        <v>4.5328960682839901</v>
      </c>
      <c r="D39" s="30">
        <v>10</v>
      </c>
      <c r="E39" s="43">
        <f t="shared" ref="E39:E44" si="51">((100-B39)/100)*D39*0.002</f>
        <v>1.2963391136801538E-2</v>
      </c>
      <c r="F39" s="43">
        <f>E39*C39/B39</f>
        <v>1.6701711252691497E-3</v>
      </c>
      <c r="G39" s="43">
        <f>E39/D39</f>
        <v>1.2963391136801539E-3</v>
      </c>
      <c r="H39" s="43">
        <f>F39/D39</f>
        <v>1.6701711252691497E-4</v>
      </c>
      <c r="I39" s="43">
        <f>0.002-G39</f>
        <v>7.0366088631984612E-4</v>
      </c>
      <c r="J39" s="43">
        <f t="shared" ref="J39:J44" si="52">I39*EXP(D39/100)</f>
        <v>7.7766554774802833E-4</v>
      </c>
      <c r="K39" s="32">
        <f t="shared" ref="K39:K44" si="53">E39/J39</f>
        <v>16.669622531615367</v>
      </c>
      <c r="L39" s="46">
        <f>F39/J39</f>
        <v>2.1476727754053755</v>
      </c>
      <c r="R39">
        <f>1/K39</f>
        <v>5.9989360773071758E-2</v>
      </c>
    </row>
    <row r="40" spans="1:19" x14ac:dyDescent="0.3">
      <c r="A40" s="29">
        <v>5.18</v>
      </c>
      <c r="B40" s="32">
        <v>26.796998420221161</v>
      </c>
      <c r="C40" s="32">
        <v>3.9148364985098372</v>
      </c>
      <c r="D40" s="30">
        <v>10</v>
      </c>
      <c r="E40" s="43">
        <f t="shared" si="51"/>
        <v>1.4640600315955767E-2</v>
      </c>
      <c r="F40" s="43">
        <f t="shared" ref="F40:F44" si="54">E40*C40/B40</f>
        <v>2.1388797199669816E-3</v>
      </c>
      <c r="G40" s="43">
        <f t="shared" ref="G40:G44" si="55">E40/D40</f>
        <v>1.4640600315955767E-3</v>
      </c>
      <c r="H40" s="43">
        <f t="shared" ref="H40:H44" si="56">F40/D40</f>
        <v>2.1388797199669817E-4</v>
      </c>
      <c r="I40" s="43">
        <f t="shared" ref="I40:I44" si="57">0.002-G40</f>
        <v>5.3593996840442331E-4</v>
      </c>
      <c r="J40" s="43">
        <f t="shared" si="52"/>
        <v>5.923052669149501E-4</v>
      </c>
      <c r="K40" s="32">
        <f t="shared" si="53"/>
        <v>24.717997853053078</v>
      </c>
      <c r="L40" s="46">
        <f t="shared" ref="L40:L44" si="58">F40/J40</f>
        <v>3.6111104179563309</v>
      </c>
      <c r="R40">
        <f t="shared" ref="R40:R44" si="59">1/K40</f>
        <v>4.0456351114881405E-2</v>
      </c>
      <c r="S40">
        <f>R40</f>
        <v>4.0456351114881405E-2</v>
      </c>
    </row>
    <row r="41" spans="1:19" x14ac:dyDescent="0.3">
      <c r="A41" s="29">
        <v>6.78</v>
      </c>
      <c r="B41" s="32">
        <v>48.951333740582378</v>
      </c>
      <c r="C41" s="32">
        <v>5.5954890785754738</v>
      </c>
      <c r="D41" s="30">
        <v>10</v>
      </c>
      <c r="E41" s="43">
        <f t="shared" si="51"/>
        <v>1.0209733251883525E-2</v>
      </c>
      <c r="F41" s="43">
        <f t="shared" si="54"/>
        <v>1.1670458502486445E-3</v>
      </c>
      <c r="G41" s="43">
        <f t="shared" si="55"/>
        <v>1.0209733251883525E-3</v>
      </c>
      <c r="H41" s="43">
        <f t="shared" si="56"/>
        <v>1.1670458502486445E-4</v>
      </c>
      <c r="I41" s="43">
        <f t="shared" si="57"/>
        <v>9.7902667481164756E-4</v>
      </c>
      <c r="J41" s="43">
        <f t="shared" si="52"/>
        <v>1.0819918090221371E-3</v>
      </c>
      <c r="K41" s="32">
        <f t="shared" si="53"/>
        <v>9.4360541057244163</v>
      </c>
      <c r="L41" s="46">
        <f t="shared" si="58"/>
        <v>1.0786087662746504</v>
      </c>
      <c r="M41" s="29">
        <v>0</v>
      </c>
      <c r="N41">
        <f>K41/$K$41</f>
        <v>1</v>
      </c>
      <c r="O41">
        <f>L41/$K$41</f>
        <v>0.11430718329818695</v>
      </c>
      <c r="P41">
        <f>1/N41</f>
        <v>1</v>
      </c>
      <c r="Q41">
        <f>(O41/N41)*P41</f>
        <v>0.11430718329818695</v>
      </c>
      <c r="R41">
        <f t="shared" si="59"/>
        <v>0.10597650127857432</v>
      </c>
      <c r="S41">
        <f>R41-R40</f>
        <v>6.552015016369292E-2</v>
      </c>
    </row>
    <row r="42" spans="1:19" x14ac:dyDescent="0.3">
      <c r="A42" s="29">
        <v>8.89</v>
      </c>
      <c r="B42" s="32">
        <v>65.731912507010648</v>
      </c>
      <c r="C42" s="32">
        <v>5.0770834651993333</v>
      </c>
      <c r="D42" s="30">
        <v>10</v>
      </c>
      <c r="E42" s="43">
        <f t="shared" si="51"/>
        <v>6.8536174985978707E-3</v>
      </c>
      <c r="F42" s="43">
        <f t="shared" si="54"/>
        <v>5.2936825891412864E-4</v>
      </c>
      <c r="G42" s="43">
        <f t="shared" si="55"/>
        <v>6.8536174985978711E-4</v>
      </c>
      <c r="H42" s="43">
        <f t="shared" si="56"/>
        <v>5.2936825891412865E-5</v>
      </c>
      <c r="I42" s="43">
        <f t="shared" si="57"/>
        <v>1.3146382501402129E-3</v>
      </c>
      <c r="J42" s="43">
        <f t="shared" si="52"/>
        <v>1.4528999618448222E-3</v>
      </c>
      <c r="K42" s="32">
        <f t="shared" si="53"/>
        <v>4.7171984848120427</v>
      </c>
      <c r="L42" s="46">
        <f t="shared" si="58"/>
        <v>0.36435286173589154</v>
      </c>
      <c r="M42" s="29">
        <v>7.4916865874369382E-2</v>
      </c>
      <c r="N42">
        <f>K42/$K$41</f>
        <v>0.49991219125697228</v>
      </c>
      <c r="O42">
        <f>L42/$K$41</f>
        <v>3.8612841517605918E-2</v>
      </c>
      <c r="P42">
        <f t="shared" ref="P42:P44" si="60">1/N42</f>
        <v>2.000351296665948</v>
      </c>
      <c r="Q42">
        <f t="shared" ref="Q42:Q44" si="61">(O42/N42)*P42</f>
        <v>0.15450562908556092</v>
      </c>
      <c r="R42">
        <f t="shared" si="59"/>
        <v>0.21199023174871665</v>
      </c>
    </row>
    <row r="43" spans="1:19" x14ac:dyDescent="0.3">
      <c r="A43" s="29">
        <v>9.9600000000000009</v>
      </c>
      <c r="B43" s="32">
        <v>77.973568281938327</v>
      </c>
      <c r="C43" s="32">
        <v>4.7885330842091731</v>
      </c>
      <c r="D43" s="30">
        <v>10</v>
      </c>
      <c r="E43" s="43">
        <f t="shared" si="51"/>
        <v>4.4052863436123343E-3</v>
      </c>
      <c r="F43" s="43">
        <f t="shared" si="54"/>
        <v>2.7053859232820186E-4</v>
      </c>
      <c r="G43" s="43">
        <f t="shared" si="55"/>
        <v>4.4052863436123345E-4</v>
      </c>
      <c r="H43" s="43">
        <f t="shared" si="56"/>
        <v>2.7053859232820185E-5</v>
      </c>
      <c r="I43" s="43">
        <f t="shared" si="57"/>
        <v>1.5594713656387667E-3</v>
      </c>
      <c r="J43" s="43">
        <f t="shared" si="52"/>
        <v>1.7234824008756798E-3</v>
      </c>
      <c r="K43" s="32">
        <f t="shared" si="53"/>
        <v>2.5560379040563825</v>
      </c>
      <c r="L43" s="46">
        <f t="shared" si="58"/>
        <v>0.15697206550571366</v>
      </c>
      <c r="M43" s="29">
        <v>0.19397893866703578</v>
      </c>
      <c r="N43">
        <f>K43/$K$41</f>
        <v>0.27087995420731564</v>
      </c>
      <c r="O43">
        <f t="shared" ref="O43:O44" si="62">L43/$K$41</f>
        <v>1.6635350300766714E-2</v>
      </c>
      <c r="P43">
        <f t="shared" si="60"/>
        <v>3.6916722129783683</v>
      </c>
      <c r="Q43">
        <f t="shared" si="61"/>
        <v>0.22671393547084134</v>
      </c>
      <c r="R43">
        <f t="shared" si="59"/>
        <v>0.39123050499877932</v>
      </c>
    </row>
    <row r="44" spans="1:19" ht="15" thickBot="1" x14ac:dyDescent="0.35">
      <c r="A44" s="33">
        <v>10.5</v>
      </c>
      <c r="B44" s="47">
        <v>81.960784313725483</v>
      </c>
      <c r="C44" s="47">
        <v>5.4615894772677187</v>
      </c>
      <c r="D44" s="34">
        <v>10</v>
      </c>
      <c r="E44" s="48">
        <f t="shared" si="51"/>
        <v>3.6078431372549035E-3</v>
      </c>
      <c r="F44" s="48">
        <f t="shared" si="54"/>
        <v>2.4041446502805281E-4</v>
      </c>
      <c r="G44" s="48">
        <f t="shared" si="55"/>
        <v>3.6078431372549036E-4</v>
      </c>
      <c r="H44" s="48">
        <f t="shared" si="56"/>
        <v>2.4041446502805282E-5</v>
      </c>
      <c r="I44" s="48">
        <f t="shared" si="57"/>
        <v>1.6392156862745097E-3</v>
      </c>
      <c r="J44" s="48">
        <f t="shared" si="52"/>
        <v>1.8116135049240029E-3</v>
      </c>
      <c r="K44" s="47">
        <f t="shared" si="53"/>
        <v>1.9915081928064189</v>
      </c>
      <c r="L44" s="49">
        <f t="shared" si="58"/>
        <v>0.13270737073586686</v>
      </c>
      <c r="M44" s="29">
        <v>0.25473900828731177</v>
      </c>
      <c r="N44">
        <f>K44/$K$41</f>
        <v>0.21105307054124067</v>
      </c>
      <c r="O44">
        <f t="shared" si="62"/>
        <v>1.4063862844465829E-2</v>
      </c>
      <c r="P44">
        <f t="shared" si="60"/>
        <v>4.7381447587354373</v>
      </c>
      <c r="Q44">
        <f t="shared" si="61"/>
        <v>0.31573394243064923</v>
      </c>
      <c r="R44">
        <f t="shared" si="59"/>
        <v>0.50213200408219627</v>
      </c>
      <c r="S44">
        <f>R44-R41</f>
        <v>0.39615550280362194</v>
      </c>
    </row>
    <row r="45" spans="1:19" x14ac:dyDescent="0.3">
      <c r="A45" s="60" t="s">
        <v>100</v>
      </c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2"/>
    </row>
    <row r="46" spans="1:19" x14ac:dyDescent="0.3">
      <c r="A46" s="29" t="s">
        <v>39</v>
      </c>
      <c r="B46" s="30" t="s">
        <v>53</v>
      </c>
      <c r="C46" s="36" t="s">
        <v>69</v>
      </c>
      <c r="D46" s="30" t="s">
        <v>65</v>
      </c>
      <c r="E46" s="30" t="s">
        <v>66</v>
      </c>
      <c r="F46" s="36" t="s">
        <v>70</v>
      </c>
      <c r="G46" s="36" t="s">
        <v>89</v>
      </c>
      <c r="H46" s="36" t="s">
        <v>91</v>
      </c>
      <c r="I46" s="44" t="s">
        <v>92</v>
      </c>
      <c r="J46" s="44" t="s">
        <v>93</v>
      </c>
      <c r="K46" s="44" t="s">
        <v>94</v>
      </c>
      <c r="L46" s="45" t="s">
        <v>95</v>
      </c>
    </row>
    <row r="47" spans="1:19" x14ac:dyDescent="0.3">
      <c r="A47" s="29">
        <v>3.51</v>
      </c>
      <c r="B47" s="32">
        <v>37.287847929395802</v>
      </c>
      <c r="C47" s="32">
        <v>6.0511899724693379</v>
      </c>
      <c r="D47" s="30">
        <v>10</v>
      </c>
      <c r="E47" s="43">
        <f t="shared" ref="E47:E52" si="63">((100-B47)/100)*D47*0.02</f>
        <v>0.12542430414120839</v>
      </c>
      <c r="F47" s="43">
        <f>E47*C47/B47</f>
        <v>2.0354253025283743E-2</v>
      </c>
      <c r="G47" s="43">
        <f>E47/D47</f>
        <v>1.2542430414120839E-2</v>
      </c>
      <c r="H47" s="43">
        <f>F47/D47</f>
        <v>2.0354253025283743E-3</v>
      </c>
      <c r="I47" s="43">
        <f>0.02-G47</f>
        <v>7.4575695858791619E-3</v>
      </c>
      <c r="J47" s="43">
        <f t="shared" ref="J47:J52" si="64">I47*EXP(D47/100)</f>
        <v>8.2418890258391005E-3</v>
      </c>
      <c r="K47" s="32">
        <f t="shared" ref="K47:K52" si="65">E47/J47</f>
        <v>15.217907417582468</v>
      </c>
      <c r="L47" s="46">
        <f>F47/J47</f>
        <v>2.4696101781364974</v>
      </c>
    </row>
    <row r="48" spans="1:19" x14ac:dyDescent="0.3">
      <c r="A48" s="29">
        <v>5.09</v>
      </c>
      <c r="B48" s="32">
        <v>14.126330243734985</v>
      </c>
      <c r="C48" s="32">
        <v>2.7959595375190589</v>
      </c>
      <c r="D48" s="30">
        <v>10</v>
      </c>
      <c r="E48" s="43">
        <f t="shared" si="63"/>
        <v>0.17174733951253005</v>
      </c>
      <c r="F48" s="43">
        <f t="shared" ref="F48:F52" si="66">E48*C48/B48</f>
        <v>3.3993160549715309E-2</v>
      </c>
      <c r="G48" s="43">
        <f t="shared" ref="G48" si="67">E48/D48</f>
        <v>1.7174733951253005E-2</v>
      </c>
      <c r="H48" s="43">
        <f t="shared" ref="H48:H52" si="68">F48/D48</f>
        <v>3.3993160549715311E-3</v>
      </c>
      <c r="I48" s="43">
        <f t="shared" ref="I48" si="69">0.02-G48</f>
        <v>2.8252660487469959E-3</v>
      </c>
      <c r="J48" s="43">
        <f t="shared" si="64"/>
        <v>3.1224018729016753E-3</v>
      </c>
      <c r="K48" s="32">
        <f t="shared" si="65"/>
        <v>55.004879737957545</v>
      </c>
      <c r="L48" s="46">
        <f t="shared" ref="L48" si="70">F48/J48</f>
        <v>10.886862720885178</v>
      </c>
    </row>
    <row r="49" spans="1:19" x14ac:dyDescent="0.3">
      <c r="A49" s="29">
        <v>6.4</v>
      </c>
      <c r="B49" s="32">
        <v>19.317394317394314</v>
      </c>
      <c r="C49" s="32">
        <v>4.7020109787241466</v>
      </c>
      <c r="D49" s="30">
        <v>10</v>
      </c>
      <c r="E49" s="43">
        <f t="shared" si="63"/>
        <v>0.16136521136521137</v>
      </c>
      <c r="F49" s="43">
        <f t="shared" si="66"/>
        <v>3.9277605610615884E-2</v>
      </c>
      <c r="G49" s="43">
        <f>E49/D49</f>
        <v>1.6136521136521136E-2</v>
      </c>
      <c r="H49" s="43">
        <f t="shared" si="68"/>
        <v>3.9277605610615884E-3</v>
      </c>
      <c r="I49" s="43">
        <f>0.02-G49</f>
        <v>3.8634788634788648E-3</v>
      </c>
      <c r="J49" s="43">
        <f t="shared" si="64"/>
        <v>4.2698044825167968E-3</v>
      </c>
      <c r="K49" s="32">
        <f t="shared" si="65"/>
        <v>37.792178078865135</v>
      </c>
      <c r="L49" s="46">
        <f>F49/J49</f>
        <v>9.1989236911063585</v>
      </c>
      <c r="M49" s="29">
        <v>0</v>
      </c>
      <c r="N49">
        <f>K49/$K$49</f>
        <v>1</v>
      </c>
      <c r="O49">
        <f>L49/$K$49</f>
        <v>0.24340813784032089</v>
      </c>
      <c r="P49">
        <f>1/N49</f>
        <v>1</v>
      </c>
      <c r="Q49">
        <f>(O49/N49)*P49</f>
        <v>0.24340813784032089</v>
      </c>
      <c r="R49">
        <f t="shared" ref="R49:R50" si="71">1/K49</f>
        <v>2.6460501903679354E-2</v>
      </c>
    </row>
    <row r="50" spans="1:19" x14ac:dyDescent="0.3">
      <c r="A50" s="29">
        <v>8.9</v>
      </c>
      <c r="B50" s="32">
        <v>39.690003483106928</v>
      </c>
      <c r="C50" s="32">
        <v>6.9687821806811199</v>
      </c>
      <c r="D50" s="30">
        <v>10</v>
      </c>
      <c r="E50" s="43">
        <f t="shared" si="63"/>
        <v>0.12061999303378615</v>
      </c>
      <c r="F50" s="43">
        <f t="shared" si="66"/>
        <v>2.1178492928213007E-2</v>
      </c>
      <c r="G50" s="43">
        <f t="shared" ref="G50:G52" si="72">E50/D50</f>
        <v>1.2061999303378614E-2</v>
      </c>
      <c r="H50" s="43">
        <f t="shared" si="68"/>
        <v>2.1178492928213008E-3</v>
      </c>
      <c r="I50" s="43">
        <f t="shared" ref="I50:I52" si="73">0.02-G50</f>
        <v>7.9380006966213862E-3</v>
      </c>
      <c r="J50" s="43">
        <f t="shared" si="64"/>
        <v>8.7728475175701884E-3</v>
      </c>
      <c r="K50" s="32">
        <f t="shared" si="65"/>
        <v>13.749240801485424</v>
      </c>
      <c r="L50" s="46">
        <f t="shared" ref="L50:L52" si="74">F50/J50</f>
        <v>2.4140956383656378</v>
      </c>
      <c r="M50" s="29">
        <v>7.4916865874369382E-2</v>
      </c>
      <c r="N50">
        <f>K50/$K$49</f>
        <v>0.3638118124018509</v>
      </c>
      <c r="O50">
        <f>L50/$K$49</f>
        <v>6.3878182234637981E-2</v>
      </c>
      <c r="P50">
        <f t="shared" ref="P50:P52" si="75">1/N50</f>
        <v>2.7486738085772844</v>
      </c>
      <c r="Q50">
        <f t="shared" ref="Q50:Q52" si="76">(O50/N50)*P50</f>
        <v>0.48261293466177446</v>
      </c>
      <c r="R50">
        <f t="shared" si="71"/>
        <v>7.2731288544452807E-2</v>
      </c>
    </row>
    <row r="51" spans="1:19" x14ac:dyDescent="0.3">
      <c r="A51" s="29">
        <v>10</v>
      </c>
      <c r="B51" s="32">
        <v>48.951670220326946</v>
      </c>
      <c r="C51" s="32">
        <v>7.3574071154346443</v>
      </c>
      <c r="D51" s="30">
        <v>10</v>
      </c>
      <c r="E51" s="43">
        <f t="shared" si="63"/>
        <v>0.1020966595593461</v>
      </c>
      <c r="F51" s="43">
        <f t="shared" si="66"/>
        <v>1.5345067617164228E-2</v>
      </c>
      <c r="G51" s="43">
        <f t="shared" si="72"/>
        <v>1.0209665955934611E-2</v>
      </c>
      <c r="H51" s="43">
        <f t="shared" si="68"/>
        <v>1.5345067617164227E-3</v>
      </c>
      <c r="I51" s="43">
        <f t="shared" si="73"/>
        <v>9.7903340440653897E-3</v>
      </c>
      <c r="J51" s="43">
        <f t="shared" si="64"/>
        <v>1.0819992463747015E-2</v>
      </c>
      <c r="K51" s="32">
        <f t="shared" si="65"/>
        <v>9.4359270490646487</v>
      </c>
      <c r="L51" s="46">
        <f t="shared" si="74"/>
        <v>1.4182142611077344</v>
      </c>
      <c r="M51" s="29">
        <v>0.19397893866703578</v>
      </c>
      <c r="N51">
        <f>K51/$K$49</f>
        <v>0.24967936564475463</v>
      </c>
      <c r="O51">
        <f t="shared" ref="O51:O52" si="77">L51/$K$49</f>
        <v>3.7526661155866413E-2</v>
      </c>
      <c r="P51">
        <f t="shared" si="75"/>
        <v>4.0051367377423022</v>
      </c>
      <c r="Q51">
        <f t="shared" si="76"/>
        <v>0.60196968560875996</v>
      </c>
      <c r="R51">
        <f>1/K51</f>
        <v>0.1059779282735263</v>
      </c>
    </row>
    <row r="52" spans="1:19" ht="15" thickBot="1" x14ac:dyDescent="0.35">
      <c r="A52" s="33">
        <v>10.52</v>
      </c>
      <c r="B52" s="47">
        <v>57.727108215707567</v>
      </c>
      <c r="C52" s="47">
        <v>9.4720459160245003</v>
      </c>
      <c r="D52" s="34">
        <v>10</v>
      </c>
      <c r="E52" s="48">
        <f t="shared" si="63"/>
        <v>8.4545783568584873E-2</v>
      </c>
      <c r="F52" s="48">
        <f t="shared" si="66"/>
        <v>1.3872538720898577E-2</v>
      </c>
      <c r="G52" s="48">
        <f t="shared" si="72"/>
        <v>8.454578356858488E-3</v>
      </c>
      <c r="H52" s="48">
        <f t="shared" si="68"/>
        <v>1.3872538720898578E-3</v>
      </c>
      <c r="I52" s="48">
        <f t="shared" si="73"/>
        <v>1.1545421643141512E-2</v>
      </c>
      <c r="J52" s="48">
        <f t="shared" si="64"/>
        <v>1.2759664236921158E-2</v>
      </c>
      <c r="K52" s="47">
        <f t="shared" si="65"/>
        <v>6.6260194624827635</v>
      </c>
      <c r="L52" s="49">
        <f t="shared" si="74"/>
        <v>1.0872181636846856</v>
      </c>
      <c r="M52" s="29">
        <v>0.25473900828731177</v>
      </c>
      <c r="N52">
        <f>K52/$K$49</f>
        <v>0.1753278006008416</v>
      </c>
      <c r="O52">
        <f t="shared" si="77"/>
        <v>2.8768338289893395E-2</v>
      </c>
      <c r="P52">
        <f t="shared" si="75"/>
        <v>5.7036020332944268</v>
      </c>
      <c r="Q52">
        <f t="shared" si="76"/>
        <v>0.93586500373831916</v>
      </c>
      <c r="R52">
        <f>1/K52</f>
        <v>0.15092017245981659</v>
      </c>
    </row>
    <row r="54" spans="1:19" ht="15" thickBot="1" x14ac:dyDescent="0.35"/>
    <row r="55" spans="1:19" x14ac:dyDescent="0.3">
      <c r="A55" s="51" t="s">
        <v>102</v>
      </c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3"/>
    </row>
    <row r="56" spans="1:19" x14ac:dyDescent="0.3">
      <c r="A56" s="29" t="s">
        <v>39</v>
      </c>
      <c r="B56" s="30" t="s">
        <v>53</v>
      </c>
      <c r="C56" s="36" t="s">
        <v>90</v>
      </c>
      <c r="D56" s="30" t="s">
        <v>65</v>
      </c>
      <c r="E56" s="30" t="s">
        <v>66</v>
      </c>
      <c r="F56" s="36" t="s">
        <v>70</v>
      </c>
      <c r="G56" s="36" t="s">
        <v>89</v>
      </c>
      <c r="H56" s="36" t="s">
        <v>91</v>
      </c>
      <c r="I56" s="44" t="s">
        <v>92</v>
      </c>
      <c r="J56" s="44" t="s">
        <v>93</v>
      </c>
      <c r="K56" s="44" t="s">
        <v>94</v>
      </c>
      <c r="L56" s="45" t="s">
        <v>95</v>
      </c>
      <c r="M56" s="29" t="s">
        <v>50</v>
      </c>
      <c r="N56" s="44" t="s">
        <v>104</v>
      </c>
      <c r="P56" t="s">
        <v>106</v>
      </c>
      <c r="R56" t="s">
        <v>105</v>
      </c>
    </row>
    <row r="57" spans="1:19" x14ac:dyDescent="0.3">
      <c r="A57" s="29">
        <v>3.47</v>
      </c>
      <c r="B57" s="32">
        <v>51.116838487972508</v>
      </c>
      <c r="C57" s="32">
        <v>4.2682769315313029</v>
      </c>
      <c r="D57" s="30">
        <v>10</v>
      </c>
      <c r="E57" s="43">
        <f t="shared" ref="E57:E62" si="78">((100-B57)/100)*D57*0.002</f>
        <v>9.7766323024054969E-3</v>
      </c>
      <c r="F57" s="43">
        <f>E57*C57/B57</f>
        <v>8.1635279799707934E-4</v>
      </c>
      <c r="G57" s="43">
        <f>E57/D57</f>
        <v>9.7766323024054964E-4</v>
      </c>
      <c r="H57" s="43">
        <f>F57/D57</f>
        <v>8.1635279799707939E-5</v>
      </c>
      <c r="I57" s="43">
        <f>0.002-G57</f>
        <v>1.0223367697594504E-3</v>
      </c>
      <c r="J57" s="43">
        <f t="shared" ref="J57:J62" si="79">I57*EXP(D57/100)</f>
        <v>1.1298568664175439E-3</v>
      </c>
      <c r="K57" s="32">
        <f t="shared" ref="K57:K62" si="80">E57/J57</f>
        <v>8.652983039705223</v>
      </c>
      <c r="L57" s="46">
        <f>F57/J57</f>
        <v>0.72252762474728582</v>
      </c>
      <c r="R57">
        <f>1/K57</f>
        <v>0.11556708194288412</v>
      </c>
    </row>
    <row r="58" spans="1:19" x14ac:dyDescent="0.3">
      <c r="A58" s="29">
        <v>5.15</v>
      </c>
      <c r="B58" s="32">
        <v>47.255880256593009</v>
      </c>
      <c r="C58" s="32">
        <v>2.3191132034996316</v>
      </c>
      <c r="D58" s="30">
        <v>10</v>
      </c>
      <c r="E58" s="43">
        <f t="shared" si="78"/>
        <v>1.05488239486814E-2</v>
      </c>
      <c r="F58" s="43">
        <f t="shared" ref="F58:F62" si="81">E58*C58/B58</f>
        <v>5.1769042853385457E-4</v>
      </c>
      <c r="G58" s="43">
        <f t="shared" ref="G58:G62" si="82">E58/D58</f>
        <v>1.05488239486814E-3</v>
      </c>
      <c r="H58" s="43">
        <f t="shared" ref="H58:H62" si="83">F58/D58</f>
        <v>5.1769042853385457E-5</v>
      </c>
      <c r="I58" s="43">
        <f t="shared" ref="I58:I62" si="84">0.002-G58</f>
        <v>9.4511760513186008E-4</v>
      </c>
      <c r="J58" s="43">
        <f t="shared" si="79"/>
        <v>1.0445164913530354E-3</v>
      </c>
      <c r="K58" s="32">
        <f t="shared" si="80"/>
        <v>10.09924116661554</v>
      </c>
      <c r="L58" s="46">
        <f t="shared" ref="L58:L62" si="85">F58/J58</f>
        <v>0.49562685971884834</v>
      </c>
      <c r="R58">
        <f t="shared" ref="R58:R62" si="86">1/K58</f>
        <v>9.9017340362723527E-2</v>
      </c>
      <c r="S58">
        <f>R58</f>
        <v>9.9017340362723527E-2</v>
      </c>
    </row>
    <row r="59" spans="1:19" x14ac:dyDescent="0.3">
      <c r="A59" s="29">
        <v>6.5</v>
      </c>
      <c r="B59" s="32">
        <v>60.545872179435207</v>
      </c>
      <c r="C59" s="32">
        <v>1.7122032717377078</v>
      </c>
      <c r="D59" s="30">
        <v>10</v>
      </c>
      <c r="E59" s="43">
        <f t="shared" si="78"/>
        <v>7.8908255641129584E-3</v>
      </c>
      <c r="F59" s="43">
        <f t="shared" si="81"/>
        <v>2.2314811664691397E-4</v>
      </c>
      <c r="G59" s="43">
        <f t="shared" si="82"/>
        <v>7.8908255641129581E-4</v>
      </c>
      <c r="H59" s="43">
        <f t="shared" si="83"/>
        <v>2.2314811664691398E-5</v>
      </c>
      <c r="I59" s="43">
        <f t="shared" si="84"/>
        <v>1.2109174435887041E-3</v>
      </c>
      <c r="J59" s="43">
        <f t="shared" si="79"/>
        <v>1.3382707428447444E-3</v>
      </c>
      <c r="K59" s="32">
        <f t="shared" si="80"/>
        <v>5.8962848932492804</v>
      </c>
      <c r="L59" s="46">
        <f t="shared" si="85"/>
        <v>0.16674362631030173</v>
      </c>
      <c r="M59" s="29">
        <v>0</v>
      </c>
      <c r="N59">
        <f>K59/$K$59</f>
        <v>1</v>
      </c>
      <c r="O59">
        <f>L59/$K$59</f>
        <v>2.8279438549722775E-2</v>
      </c>
      <c r="P59">
        <f>1/N59</f>
        <v>1</v>
      </c>
      <c r="Q59">
        <f>(O59/N59)*P59</f>
        <v>2.8279438549722775E-2</v>
      </c>
      <c r="R59">
        <f t="shared" si="86"/>
        <v>0.16959831794167726</v>
      </c>
      <c r="S59">
        <f>R59-R58</f>
        <v>7.0580977578953735E-2</v>
      </c>
    </row>
    <row r="60" spans="1:19" x14ac:dyDescent="0.3">
      <c r="A60" s="29">
        <v>8.9</v>
      </c>
      <c r="B60" s="32">
        <v>68.501895072810697</v>
      </c>
      <c r="C60" s="32">
        <v>2.7386399045251202</v>
      </c>
      <c r="D60" s="30">
        <v>10</v>
      </c>
      <c r="E60" s="43">
        <f t="shared" si="78"/>
        <v>6.2996209854378604E-3</v>
      </c>
      <c r="F60" s="43">
        <f t="shared" si="81"/>
        <v>2.5185279028801184E-4</v>
      </c>
      <c r="G60" s="43">
        <f t="shared" si="82"/>
        <v>6.2996209854378606E-4</v>
      </c>
      <c r="H60" s="43">
        <f t="shared" si="83"/>
        <v>2.5185279028801184E-5</v>
      </c>
      <c r="I60" s="43">
        <f t="shared" si="84"/>
        <v>1.3700379014562141E-3</v>
      </c>
      <c r="J60" s="43">
        <f t="shared" si="79"/>
        <v>1.514126045350798E-3</v>
      </c>
      <c r="K60" s="32">
        <f t="shared" si="80"/>
        <v>4.1605657631880586</v>
      </c>
      <c r="L60" s="46">
        <f t="shared" si="85"/>
        <v>0.16633541907646249</v>
      </c>
      <c r="M60" s="29">
        <v>5.8311606016155849E-2</v>
      </c>
      <c r="N60">
        <f>K60/$K$59</f>
        <v>0.7056249551224254</v>
      </c>
      <c r="O60">
        <f>L60/$K$59</f>
        <v>2.8210207289492015E-2</v>
      </c>
      <c r="P60">
        <f t="shared" ref="P60:P62" si="87">1/N60</f>
        <v>1.4171834382281743</v>
      </c>
      <c r="Q60">
        <f t="shared" ref="Q60:Q62" si="88">(O60/N60)*P60</f>
        <v>5.6657631323024094E-2</v>
      </c>
      <c r="R60">
        <f t="shared" si="86"/>
        <v>0.24035192733830121</v>
      </c>
    </row>
    <row r="61" spans="1:19" x14ac:dyDescent="0.3">
      <c r="A61" s="29">
        <v>10</v>
      </c>
      <c r="B61" s="32">
        <v>81.208309510196287</v>
      </c>
      <c r="C61" s="32">
        <v>0.59112111375150889</v>
      </c>
      <c r="D61" s="30">
        <v>10</v>
      </c>
      <c r="E61" s="43">
        <f t="shared" si="78"/>
        <v>3.7583380979607428E-3</v>
      </c>
      <c r="F61" s="43">
        <f t="shared" si="81"/>
        <v>2.7357212774418607E-5</v>
      </c>
      <c r="G61" s="43">
        <f t="shared" si="82"/>
        <v>3.7583380979607428E-4</v>
      </c>
      <c r="H61" s="43">
        <f t="shared" si="83"/>
        <v>2.7357212774418606E-6</v>
      </c>
      <c r="I61" s="43">
        <f t="shared" si="84"/>
        <v>1.6241661902039258E-3</v>
      </c>
      <c r="J61" s="43">
        <f t="shared" si="79"/>
        <v>1.7949812395350996E-3</v>
      </c>
      <c r="K61" s="32">
        <f t="shared" si="80"/>
        <v>2.0938035535870854</v>
      </c>
      <c r="L61" s="46">
        <f t="shared" si="85"/>
        <v>1.5240946351898436E-2</v>
      </c>
      <c r="M61" s="29">
        <v>0.13569091753408899</v>
      </c>
      <c r="N61">
        <f>K61/$K$59</f>
        <v>0.35510556078867617</v>
      </c>
      <c r="O61">
        <f t="shared" ref="O61:O62" si="89">L61/$K$59</f>
        <v>2.5848388651213169E-3</v>
      </c>
      <c r="P61">
        <f t="shared" si="87"/>
        <v>2.8160640396028644</v>
      </c>
      <c r="Q61">
        <f t="shared" si="88"/>
        <v>2.0498332270746402E-2</v>
      </c>
      <c r="R61">
        <f t="shared" si="86"/>
        <v>0.47759972433269066</v>
      </c>
    </row>
    <row r="62" spans="1:19" ht="15" thickBot="1" x14ac:dyDescent="0.35">
      <c r="A62" s="33">
        <v>10.5</v>
      </c>
      <c r="B62" s="47">
        <v>85.061254342658614</v>
      </c>
      <c r="C62" s="47">
        <v>2.0428391191712305</v>
      </c>
      <c r="D62" s="34">
        <v>10</v>
      </c>
      <c r="E62" s="48">
        <f t="shared" si="78"/>
        <v>2.9877491314682773E-3</v>
      </c>
      <c r="F62" s="48">
        <f t="shared" si="81"/>
        <v>7.1754065363839061E-5</v>
      </c>
      <c r="G62" s="48">
        <f t="shared" si="82"/>
        <v>2.9877491314682771E-4</v>
      </c>
      <c r="H62" s="48">
        <f t="shared" si="83"/>
        <v>7.1754065363839058E-6</v>
      </c>
      <c r="I62" s="48">
        <f t="shared" si="84"/>
        <v>1.7012250868531724E-3</v>
      </c>
      <c r="J62" s="48">
        <f t="shared" si="79"/>
        <v>1.880144491090844E-3</v>
      </c>
      <c r="K62" s="47">
        <f t="shared" si="80"/>
        <v>1.5891061275481069</v>
      </c>
      <c r="L62" s="49">
        <f t="shared" si="85"/>
        <v>3.8164122866008003E-2</v>
      </c>
      <c r="M62" s="29">
        <v>0.20962674642714324</v>
      </c>
      <c r="N62">
        <f>K62/$K$59</f>
        <v>0.26950972626297137</v>
      </c>
      <c r="O62">
        <f t="shared" si="89"/>
        <v>6.4725710437944601E-3</v>
      </c>
      <c r="P62">
        <f t="shared" si="87"/>
        <v>3.7104412292128566</v>
      </c>
      <c r="Q62">
        <f t="shared" si="88"/>
        <v>8.9110307048699239E-2</v>
      </c>
      <c r="R62">
        <f t="shared" si="86"/>
        <v>0.62928459129594982</v>
      </c>
      <c r="S62">
        <f>R62-R59</f>
        <v>0.45968627335427259</v>
      </c>
    </row>
    <row r="63" spans="1:19" x14ac:dyDescent="0.3">
      <c r="A63" s="51" t="s">
        <v>103</v>
      </c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3"/>
    </row>
    <row r="64" spans="1:19" x14ac:dyDescent="0.3">
      <c r="A64" s="29" t="s">
        <v>39</v>
      </c>
      <c r="B64" s="30" t="s">
        <v>53</v>
      </c>
      <c r="C64" s="36" t="s">
        <v>69</v>
      </c>
      <c r="D64" s="30" t="s">
        <v>65</v>
      </c>
      <c r="E64" s="30" t="s">
        <v>66</v>
      </c>
      <c r="F64" s="36" t="s">
        <v>70</v>
      </c>
      <c r="G64" s="36" t="s">
        <v>89</v>
      </c>
      <c r="H64" s="36" t="s">
        <v>91</v>
      </c>
      <c r="I64" s="44" t="s">
        <v>92</v>
      </c>
      <c r="J64" s="44" t="s">
        <v>93</v>
      </c>
      <c r="K64" s="44" t="s">
        <v>94</v>
      </c>
      <c r="L64" s="45" t="s">
        <v>95</v>
      </c>
    </row>
    <row r="65" spans="1:18" x14ac:dyDescent="0.3">
      <c r="A65" s="29">
        <v>3.48</v>
      </c>
      <c r="B65" s="32">
        <v>63.624070317782277</v>
      </c>
      <c r="C65" s="32">
        <v>8.6190323083039894E-2</v>
      </c>
      <c r="D65" s="30">
        <v>10</v>
      </c>
      <c r="E65" s="43">
        <f t="shared" ref="E65:E70" si="90">((100-B65)/100)*D65*0.02</f>
        <v>7.2751859364435442E-2</v>
      </c>
      <c r="F65" s="43">
        <f>E65*C65/B65</f>
        <v>9.8555566033316634E-5</v>
      </c>
      <c r="G65" s="43">
        <f>E65/D65</f>
        <v>7.2751859364435442E-3</v>
      </c>
      <c r="H65" s="43">
        <f>F65/D65</f>
        <v>9.8555566033316637E-6</v>
      </c>
      <c r="I65" s="43">
        <f>0.02-G65</f>
        <v>1.2724814063556456E-2</v>
      </c>
      <c r="J65" s="43">
        <f t="shared" ref="J65:J70" si="91">I65*EXP(D65/100)</f>
        <v>1.4063094440962601E-2</v>
      </c>
      <c r="K65" s="32">
        <f t="shared" ref="K65:K70" si="92">E65/J65</f>
        <v>5.1732468746370497</v>
      </c>
      <c r="L65" s="46">
        <f>F65/J65</f>
        <v>7.00809956493264E-3</v>
      </c>
    </row>
    <row r="66" spans="1:18" x14ac:dyDescent="0.3">
      <c r="A66" s="29">
        <v>5.2</v>
      </c>
      <c r="B66" s="32">
        <v>40.041493775933617</v>
      </c>
      <c r="C66" s="32">
        <v>2.1145038496514013</v>
      </c>
      <c r="D66" s="30">
        <v>10</v>
      </c>
      <c r="E66" s="43">
        <f t="shared" si="90"/>
        <v>0.11991701244813278</v>
      </c>
      <c r="F66" s="43">
        <f t="shared" ref="F66:F70" si="93">E66*C66/B66</f>
        <v>6.3325555704585989E-3</v>
      </c>
      <c r="G66" s="43">
        <f t="shared" ref="G66" si="94">E66/D66</f>
        <v>1.1991701244813278E-2</v>
      </c>
      <c r="H66" s="43">
        <f t="shared" ref="H66:H70" si="95">F66/D66</f>
        <v>6.3325555704585985E-4</v>
      </c>
      <c r="I66" s="43">
        <f t="shared" ref="I66" si="96">0.02-G66</f>
        <v>8.0082987551867227E-3</v>
      </c>
      <c r="J66" s="43">
        <f t="shared" si="91"/>
        <v>8.8505388874937762E-3</v>
      </c>
      <c r="K66" s="32">
        <f t="shared" si="92"/>
        <v>13.549119886652452</v>
      </c>
      <c r="L66" s="46">
        <f t="shared" ref="L66" si="97">F66/J66</f>
        <v>0.71549943466231136</v>
      </c>
    </row>
    <row r="67" spans="1:18" x14ac:dyDescent="0.3">
      <c r="A67" s="29">
        <v>6.7</v>
      </c>
      <c r="B67" s="32">
        <v>41.817554750819099</v>
      </c>
      <c r="C67" s="32">
        <v>2.1514705431003391</v>
      </c>
      <c r="D67" s="30">
        <v>10</v>
      </c>
      <c r="E67" s="43">
        <f t="shared" si="90"/>
        <v>0.11636489049836181</v>
      </c>
      <c r="F67" s="43">
        <f t="shared" si="93"/>
        <v>5.9868549380788011E-3</v>
      </c>
      <c r="G67" s="43">
        <f>E67/D67</f>
        <v>1.163648904983618E-2</v>
      </c>
      <c r="H67" s="43">
        <f t="shared" si="95"/>
        <v>5.9868549380788006E-4</v>
      </c>
      <c r="I67" s="43">
        <f>0.02-G67</f>
        <v>8.3635109501638202E-3</v>
      </c>
      <c r="J67" s="43">
        <f t="shared" si="91"/>
        <v>9.2431090751282814E-3</v>
      </c>
      <c r="K67" s="32">
        <f t="shared" si="92"/>
        <v>12.589366797745685</v>
      </c>
      <c r="L67" s="46">
        <f>F67/J67</f>
        <v>0.64771008211819803</v>
      </c>
      <c r="M67" s="29">
        <v>0</v>
      </c>
      <c r="N67">
        <f>K67/$K$67</f>
        <v>1</v>
      </c>
      <c r="O67">
        <f>L67/$K$67</f>
        <v>5.144898012139739E-2</v>
      </c>
      <c r="P67">
        <f>1/N67</f>
        <v>1</v>
      </c>
      <c r="Q67">
        <f>(O67/N67)*P67</f>
        <v>5.144898012139739E-2</v>
      </c>
      <c r="R67">
        <f t="shared" ref="R67:R68" si="98">1/K67</f>
        <v>7.9432112517292375E-2</v>
      </c>
    </row>
    <row r="68" spans="1:18" x14ac:dyDescent="0.3">
      <c r="A68" s="29">
        <v>8.9</v>
      </c>
      <c r="B68" s="32">
        <v>55.927260250471782</v>
      </c>
      <c r="C68" s="32">
        <v>6.1210646933047581</v>
      </c>
      <c r="D68" s="30">
        <v>10</v>
      </c>
      <c r="E68" s="43">
        <f t="shared" si="90"/>
        <v>8.8145479499056434E-2</v>
      </c>
      <c r="F68" s="43">
        <f t="shared" si="93"/>
        <v>9.647248587177866E-3</v>
      </c>
      <c r="G68" s="43">
        <f t="shared" ref="G68:G70" si="99">E68/D68</f>
        <v>8.8145479499056427E-3</v>
      </c>
      <c r="H68" s="43">
        <f t="shared" si="95"/>
        <v>9.6472485871778658E-4</v>
      </c>
      <c r="I68" s="43">
        <f t="shared" ref="I68:I70" si="100">0.02-G68</f>
        <v>1.1185452050094358E-2</v>
      </c>
      <c r="J68" s="43">
        <f t="shared" si="91"/>
        <v>1.2361836311293917E-2</v>
      </c>
      <c r="K68" s="32">
        <f t="shared" si="92"/>
        <v>7.1304519231115933</v>
      </c>
      <c r="L68" s="46">
        <f t="shared" ref="L68:L70" si="101">F68/J68</f>
        <v>0.78040578634454394</v>
      </c>
      <c r="M68" s="29">
        <v>5.8311606016155849E-2</v>
      </c>
      <c r="N68">
        <f>K68/$K$67</f>
        <v>0.56638685945574385</v>
      </c>
      <c r="O68">
        <f>L68/$K$67</f>
        <v>6.1989280230065849E-2</v>
      </c>
      <c r="P68">
        <f t="shared" ref="P68:P70" si="102">1/N68</f>
        <v>1.7655776847664271</v>
      </c>
      <c r="Q68">
        <f t="shared" ref="Q68:Q70" si="103">(O68/N68)*P68</f>
        <v>0.19323698641968376</v>
      </c>
      <c r="R68">
        <f t="shared" si="98"/>
        <v>0.14024356531438739</v>
      </c>
    </row>
    <row r="69" spans="1:18" x14ac:dyDescent="0.3">
      <c r="A69" s="29">
        <v>9.9</v>
      </c>
      <c r="B69" s="32">
        <v>70.88900766078747</v>
      </c>
      <c r="C69" s="32">
        <v>6.4822531573985387</v>
      </c>
      <c r="D69" s="30">
        <v>10</v>
      </c>
      <c r="E69" s="43">
        <f t="shared" si="90"/>
        <v>5.8221984678425057E-2</v>
      </c>
      <c r="F69" s="43">
        <f t="shared" si="93"/>
        <v>5.3239515753652706E-3</v>
      </c>
      <c r="G69" s="43">
        <f t="shared" si="99"/>
        <v>5.8221984678425058E-3</v>
      </c>
      <c r="H69" s="43">
        <f t="shared" si="95"/>
        <v>5.3239515753652708E-4</v>
      </c>
      <c r="I69" s="43">
        <f t="shared" si="100"/>
        <v>1.4177801532157495E-2</v>
      </c>
      <c r="J69" s="43">
        <f t="shared" si="91"/>
        <v>1.5668893935588825E-2</v>
      </c>
      <c r="K69" s="32">
        <f t="shared" si="92"/>
        <v>3.7157686380265309</v>
      </c>
      <c r="L69" s="46">
        <f t="shared" si="101"/>
        <v>0.33977839133067056</v>
      </c>
      <c r="M69" s="29">
        <v>0.13569091753408899</v>
      </c>
      <c r="N69">
        <f>K69/$K$67</f>
        <v>0.29515135254394964</v>
      </c>
      <c r="O69">
        <f t="shared" ref="O69:O70" si="104">L69/$K$67</f>
        <v>2.6989315411122424E-2</v>
      </c>
      <c r="P69">
        <f t="shared" si="102"/>
        <v>3.3880922156746496</v>
      </c>
      <c r="Q69">
        <f t="shared" si="103"/>
        <v>0.3098149090717634</v>
      </c>
      <c r="R69">
        <f>1/K69</f>
        <v>0.26912332209443118</v>
      </c>
    </row>
    <row r="70" spans="1:18" ht="15" thickBot="1" x14ac:dyDescent="0.35">
      <c r="A70" s="33">
        <v>10.43</v>
      </c>
      <c r="B70" s="47">
        <v>77.516839614054263</v>
      </c>
      <c r="C70" s="47">
        <v>6.9933224552141713</v>
      </c>
      <c r="D70" s="34">
        <v>10</v>
      </c>
      <c r="E70" s="48">
        <f t="shared" si="90"/>
        <v>4.4966320771891478E-2</v>
      </c>
      <c r="F70" s="48">
        <f t="shared" si="93"/>
        <v>4.0567182866084999E-3</v>
      </c>
      <c r="G70" s="48">
        <f t="shared" si="99"/>
        <v>4.4966320771891478E-3</v>
      </c>
      <c r="H70" s="48">
        <f t="shared" si="95"/>
        <v>4.0567182866084998E-4</v>
      </c>
      <c r="I70" s="48">
        <f t="shared" si="100"/>
        <v>1.5503367922810853E-2</v>
      </c>
      <c r="J70" s="48">
        <f t="shared" si="91"/>
        <v>1.7133871360517416E-2</v>
      </c>
      <c r="K70" s="47">
        <f t="shared" si="92"/>
        <v>2.6244110175538031</v>
      </c>
      <c r="L70" s="49">
        <f t="shared" si="101"/>
        <v>0.23676600584014151</v>
      </c>
      <c r="M70" s="29">
        <v>0.20962674642714324</v>
      </c>
      <c r="N70">
        <f>K70/$K$67</f>
        <v>0.20846251123795545</v>
      </c>
      <c r="O70">
        <f t="shared" si="104"/>
        <v>1.8806824016164025E-2</v>
      </c>
      <c r="P70">
        <f t="shared" si="102"/>
        <v>4.7970255853750201</v>
      </c>
      <c r="Q70">
        <f t="shared" si="103"/>
        <v>0.43277237451199879</v>
      </c>
      <c r="R70">
        <f>1/K70</f>
        <v>0.38103787604583889</v>
      </c>
    </row>
  </sheetData>
  <mergeCells count="8">
    <mergeCell ref="A55:L55"/>
    <mergeCell ref="A63:L63"/>
    <mergeCell ref="A1:L1"/>
    <mergeCell ref="A9:L9"/>
    <mergeCell ref="A19:L19"/>
    <mergeCell ref="A27:L27"/>
    <mergeCell ref="A37:L37"/>
    <mergeCell ref="A45:L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PIP Layers Na2SO4</vt:lpstr>
      <vt:lpstr>PIP Layers NaCl</vt:lpstr>
      <vt:lpstr>NF270 NaCl</vt:lpstr>
      <vt:lpstr>NF270 NaNO3</vt:lpstr>
      <vt:lpstr>PWP</vt:lpstr>
      <vt:lpstr>NF270 Na2SO4</vt:lpstr>
      <vt:lpstr>CarbvRej</vt:lpstr>
      <vt:lpstr>CarbvSelec</vt:lpstr>
      <vt:lpstr>B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Ritt</dc:creator>
  <cp:lastModifiedBy>Cody Ritt</cp:lastModifiedBy>
  <dcterms:created xsi:type="dcterms:W3CDTF">2019-01-18T02:52:42Z</dcterms:created>
  <dcterms:modified xsi:type="dcterms:W3CDTF">2020-08-06T14:10:58Z</dcterms:modified>
</cp:coreProperties>
</file>