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8_{8EC285A0-FDFB-48F9-91D4-967BD0189E7F}" xr6:coauthVersionLast="45" xr6:coauthVersionMax="45" xr10:uidLastSave="{00000000-0000-0000-0000-000000000000}"/>
  <bookViews>
    <workbookView xWindow="28680" yWindow="-120" windowWidth="25440" windowHeight="15390" activeTab="2" xr2:uid="{00000000-000D-0000-FFFF-FFFF00000000}"/>
  </bookViews>
  <sheets>
    <sheet name="Br binding" sheetId="1" r:id="rId1"/>
    <sheet name="PS20" sheetId="2" r:id="rId2"/>
    <sheet name="Fitting" sheetId="3" r:id="rId3"/>
    <sheet name="PIPvthickness" sheetId="4" r:id="rId4"/>
    <sheet name="RegressAnal" sheetId="7" r:id="rId5"/>
  </sheets>
  <definedNames>
    <definedName name="solver_adj" localSheetId="2" hidden="1">Fitting!$Q$1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itr" localSheetId="2" hidden="1">2147483647</definedName>
    <definedName name="solver_lhs1" localSheetId="2" hidden="1">Fitting!$H$1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opt" localSheetId="2" hidden="1">Fitting!$W$25</definedName>
    <definedName name="solver_opt" localSheetId="3" hidden="1">PIPvthickness!$B$2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81029"/>
</workbook>
</file>

<file path=xl/calcChain.xml><?xml version="1.0" encoding="utf-8"?>
<calcChain xmlns="http://schemas.openxmlformats.org/spreadsheetml/2006/main">
  <c r="G3" i="4" l="1"/>
  <c r="F23" i="3" l="1"/>
  <c r="G4" i="4"/>
  <c r="D4" i="4" l="1"/>
  <c r="D3" i="4"/>
  <c r="D2" i="4"/>
  <c r="K75" i="1" l="1"/>
  <c r="G75" i="1"/>
  <c r="D75" i="1"/>
  <c r="F75" i="1" s="1"/>
  <c r="I75" i="1" s="1"/>
  <c r="N75" i="1" s="1"/>
  <c r="T28" i="1" s="1"/>
  <c r="C75" i="1"/>
  <c r="E75" i="1" s="1"/>
  <c r="H75" i="1" s="1"/>
  <c r="L75" i="1" s="1"/>
  <c r="M75" i="1" s="1"/>
  <c r="K72" i="1"/>
  <c r="G72" i="1"/>
  <c r="D72" i="1"/>
  <c r="F72" i="1" s="1"/>
  <c r="I72" i="1" s="1"/>
  <c r="N72" i="1" s="1"/>
  <c r="T27" i="1" s="1"/>
  <c r="C72" i="1"/>
  <c r="E72" i="1" s="1"/>
  <c r="H72" i="1" s="1"/>
  <c r="L72" i="1" s="1"/>
  <c r="M72" i="1" s="1"/>
  <c r="S27" i="1" s="1"/>
  <c r="U27" i="1" s="1"/>
  <c r="K69" i="1"/>
  <c r="G69" i="1"/>
  <c r="D69" i="1"/>
  <c r="F69" i="1" s="1"/>
  <c r="I69" i="1" s="1"/>
  <c r="N69" i="1" s="1"/>
  <c r="T26" i="1" s="1"/>
  <c r="C69" i="1"/>
  <c r="E69" i="1" s="1"/>
  <c r="H69" i="1" s="1"/>
  <c r="L69" i="1" s="1"/>
  <c r="M69" i="1" s="1"/>
  <c r="S26" i="1" s="1"/>
  <c r="U26" i="1" s="1"/>
  <c r="K66" i="1"/>
  <c r="G66" i="1"/>
  <c r="D66" i="1"/>
  <c r="F66" i="1" s="1"/>
  <c r="I66" i="1" s="1"/>
  <c r="N66" i="1" s="1"/>
  <c r="T25" i="1" s="1"/>
  <c r="C66" i="1"/>
  <c r="E66" i="1" s="1"/>
  <c r="H66" i="1" s="1"/>
  <c r="L66" i="1" s="1"/>
  <c r="M66" i="1" s="1"/>
  <c r="S25" i="1" s="1"/>
  <c r="U25" i="1" s="1"/>
  <c r="K63" i="1"/>
  <c r="G63" i="1"/>
  <c r="D63" i="1"/>
  <c r="F63" i="1" s="1"/>
  <c r="I63" i="1" s="1"/>
  <c r="N63" i="1" s="1"/>
  <c r="T24" i="1" s="1"/>
  <c r="C63" i="1"/>
  <c r="E63" i="1" s="1"/>
  <c r="H63" i="1" s="1"/>
  <c r="L63" i="1" s="1"/>
  <c r="M63" i="1" s="1"/>
  <c r="S24" i="1" s="1"/>
  <c r="U24" i="1" s="1"/>
  <c r="S28" i="1" l="1"/>
  <c r="U28" i="1" s="1"/>
  <c r="Q30" i="3"/>
  <c r="R30" i="3" s="1"/>
  <c r="U30" i="3" s="1"/>
  <c r="Q31" i="3"/>
  <c r="R31" i="3" s="1"/>
  <c r="Q32" i="3"/>
  <c r="R32" i="3" s="1"/>
  <c r="Q33" i="3"/>
  <c r="R33" i="3" s="1"/>
  <c r="Q34" i="3"/>
  <c r="R34" i="3" s="1"/>
  <c r="U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29" i="3"/>
  <c r="R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29" i="3"/>
  <c r="I29" i="3" s="1"/>
  <c r="S49" i="3"/>
  <c r="J49" i="3"/>
  <c r="S48" i="3"/>
  <c r="J48" i="3"/>
  <c r="S47" i="3"/>
  <c r="J47" i="3"/>
  <c r="S46" i="3"/>
  <c r="J46" i="3"/>
  <c r="S45" i="3"/>
  <c r="J45" i="3"/>
  <c r="S44" i="3"/>
  <c r="J44" i="3"/>
  <c r="S43" i="3"/>
  <c r="J43" i="3"/>
  <c r="S42" i="3"/>
  <c r="J42" i="3"/>
  <c r="S41" i="3"/>
  <c r="J41" i="3"/>
  <c r="S40" i="3"/>
  <c r="J40" i="3"/>
  <c r="S39" i="3"/>
  <c r="J39" i="3"/>
  <c r="S38" i="3"/>
  <c r="J38" i="3"/>
  <c r="S37" i="3"/>
  <c r="J37" i="3"/>
  <c r="S36" i="3"/>
  <c r="J36" i="3"/>
  <c r="S35" i="3"/>
  <c r="J35" i="3"/>
  <c r="I35" i="3"/>
  <c r="S34" i="3"/>
  <c r="J34" i="3"/>
  <c r="S33" i="3"/>
  <c r="J33" i="3"/>
  <c r="S32" i="3"/>
  <c r="J32" i="3"/>
  <c r="S31" i="3"/>
  <c r="J31" i="3"/>
  <c r="S30" i="3"/>
  <c r="J30" i="3"/>
  <c r="S29" i="3"/>
  <c r="J29" i="3"/>
  <c r="S26" i="3"/>
  <c r="J26" i="3"/>
  <c r="Q5" i="3"/>
  <c r="R5" i="3" s="1"/>
  <c r="U5" i="3" s="1"/>
  <c r="Q6" i="3"/>
  <c r="Q7" i="3"/>
  <c r="R7" i="3" s="1"/>
  <c r="U7" i="3" s="1"/>
  <c r="Q8" i="3"/>
  <c r="R8" i="3" s="1"/>
  <c r="U8" i="3" s="1"/>
  <c r="Q9" i="3"/>
  <c r="R9" i="3" s="1"/>
  <c r="U9" i="3" s="1"/>
  <c r="Q10" i="3"/>
  <c r="R10" i="3" s="1"/>
  <c r="U10" i="3" s="1"/>
  <c r="Q11" i="3"/>
  <c r="R11" i="3" s="1"/>
  <c r="U11" i="3" s="1"/>
  <c r="Q12" i="3"/>
  <c r="R12" i="3" s="1"/>
  <c r="U12" i="3" s="1"/>
  <c r="Q13" i="3"/>
  <c r="R13" i="3" s="1"/>
  <c r="U13" i="3" s="1"/>
  <c r="Q14" i="3"/>
  <c r="R14" i="3" s="1"/>
  <c r="U14" i="3" s="1"/>
  <c r="Q15" i="3"/>
  <c r="R15" i="3" s="1"/>
  <c r="Q16" i="3"/>
  <c r="R16" i="3" s="1"/>
  <c r="U16" i="3" s="1"/>
  <c r="Q17" i="3"/>
  <c r="R17" i="3" s="1"/>
  <c r="U17" i="3" s="1"/>
  <c r="Q18" i="3"/>
  <c r="R18" i="3" s="1"/>
  <c r="U18" i="3" s="1"/>
  <c r="Q19" i="3"/>
  <c r="R19" i="3" s="1"/>
  <c r="U19" i="3" s="1"/>
  <c r="Q20" i="3"/>
  <c r="R20" i="3" s="1"/>
  <c r="Q21" i="3"/>
  <c r="R21" i="3" s="1"/>
  <c r="U21" i="3" s="1"/>
  <c r="Q22" i="3"/>
  <c r="R22" i="3" s="1"/>
  <c r="Q23" i="3"/>
  <c r="R23" i="3" s="1"/>
  <c r="Q24" i="3"/>
  <c r="R24" i="3" s="1"/>
  <c r="U24" i="3" s="1"/>
  <c r="Q4" i="3"/>
  <c r="R4" i="3" s="1"/>
  <c r="U4" i="3" s="1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R6" i="3"/>
  <c r="S5" i="3"/>
  <c r="S4" i="3"/>
  <c r="S1" i="3"/>
  <c r="H21" i="3"/>
  <c r="I21" i="3" s="1"/>
  <c r="H22" i="3"/>
  <c r="I22" i="3" s="1"/>
  <c r="H23" i="3"/>
  <c r="I23" i="3" s="1"/>
  <c r="H24" i="3"/>
  <c r="H8" i="3"/>
  <c r="H9" i="3"/>
  <c r="I9" i="3" s="1"/>
  <c r="L9" i="3" s="1"/>
  <c r="H10" i="3"/>
  <c r="I10" i="3" s="1"/>
  <c r="L10" i="3" s="1"/>
  <c r="H11" i="3"/>
  <c r="I11" i="3" s="1"/>
  <c r="H12" i="3"/>
  <c r="I12" i="3" s="1"/>
  <c r="H13" i="3"/>
  <c r="I13" i="3" s="1"/>
  <c r="L13" i="3" s="1"/>
  <c r="H14" i="3"/>
  <c r="H15" i="3"/>
  <c r="H16" i="3"/>
  <c r="H17" i="3"/>
  <c r="I17" i="3" s="1"/>
  <c r="L17" i="3" s="1"/>
  <c r="H18" i="3"/>
  <c r="I18" i="3" s="1"/>
  <c r="L18" i="3" s="1"/>
  <c r="H19" i="3"/>
  <c r="I19" i="3" s="1"/>
  <c r="H20" i="3"/>
  <c r="I20" i="3" s="1"/>
  <c r="H4" i="3"/>
  <c r="I4" i="3" s="1"/>
  <c r="H5" i="3"/>
  <c r="I5" i="3" s="1"/>
  <c r="H6" i="3"/>
  <c r="I6" i="3" s="1"/>
  <c r="H7" i="3"/>
  <c r="I7" i="3" s="1"/>
  <c r="J4" i="3"/>
  <c r="J5" i="3"/>
  <c r="J6" i="3"/>
  <c r="J1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7" i="3"/>
  <c r="I24" i="3"/>
  <c r="I16" i="3"/>
  <c r="I15" i="3"/>
  <c r="I14" i="3"/>
  <c r="I8" i="3"/>
  <c r="U23" i="3" l="1"/>
  <c r="U6" i="3"/>
  <c r="U22" i="3"/>
  <c r="U15" i="3"/>
  <c r="L48" i="3"/>
  <c r="L44" i="3"/>
  <c r="L40" i="3"/>
  <c r="L36" i="3"/>
  <c r="L32" i="3"/>
  <c r="U49" i="3"/>
  <c r="U45" i="3"/>
  <c r="W45" i="3" s="1"/>
  <c r="U41" i="3"/>
  <c r="U37" i="3"/>
  <c r="U33" i="3"/>
  <c r="L4" i="3"/>
  <c r="L47" i="3"/>
  <c r="L43" i="3"/>
  <c r="N43" i="3" s="1"/>
  <c r="L39" i="3"/>
  <c r="N39" i="3" s="1"/>
  <c r="L31" i="3"/>
  <c r="U48" i="3"/>
  <c r="U44" i="3"/>
  <c r="U40" i="3"/>
  <c r="U36" i="3"/>
  <c r="U32" i="3"/>
  <c r="L8" i="3"/>
  <c r="L16" i="3"/>
  <c r="L7" i="3"/>
  <c r="L20" i="3"/>
  <c r="L12" i="3"/>
  <c r="L21" i="3"/>
  <c r="N21" i="3" s="1"/>
  <c r="L24" i="3"/>
  <c r="L6" i="3"/>
  <c r="L19" i="3"/>
  <c r="L11" i="3"/>
  <c r="L29" i="3"/>
  <c r="L46" i="3"/>
  <c r="N46" i="3" s="1"/>
  <c r="L42" i="3"/>
  <c r="L38" i="3"/>
  <c r="L34" i="3"/>
  <c r="L30" i="3"/>
  <c r="U47" i="3"/>
  <c r="U43" i="3"/>
  <c r="W43" i="3" s="1"/>
  <c r="U35" i="3"/>
  <c r="W35" i="3" s="1"/>
  <c r="U31" i="3"/>
  <c r="L5" i="3"/>
  <c r="U20" i="3"/>
  <c r="W20" i="3" s="1"/>
  <c r="L35" i="3"/>
  <c r="N35" i="3" s="1"/>
  <c r="N50" i="3" s="1"/>
  <c r="L49" i="3"/>
  <c r="L45" i="3"/>
  <c r="N45" i="3" s="1"/>
  <c r="L41" i="3"/>
  <c r="L37" i="3"/>
  <c r="L33" i="3"/>
  <c r="U29" i="3"/>
  <c r="U46" i="3"/>
  <c r="W46" i="3" s="1"/>
  <c r="U42" i="3"/>
  <c r="U38" i="3"/>
  <c r="U39" i="3"/>
  <c r="W39" i="3" s="1"/>
  <c r="W21" i="3"/>
  <c r="W14" i="3"/>
  <c r="W18" i="3"/>
  <c r="W10" i="3"/>
  <c r="L22" i="3"/>
  <c r="L14" i="3"/>
  <c r="N14" i="3" s="1"/>
  <c r="L23" i="3"/>
  <c r="L15" i="3"/>
  <c r="N10" i="3"/>
  <c r="W25" i="3" l="1"/>
  <c r="W50" i="3"/>
  <c r="N18" i="3"/>
  <c r="N20" i="3"/>
  <c r="N25" i="3" l="1"/>
  <c r="U10" i="1" l="1"/>
  <c r="U11" i="1"/>
  <c r="U12" i="1"/>
  <c r="U13" i="1"/>
  <c r="U14" i="1"/>
  <c r="U9" i="1"/>
  <c r="U15" i="1"/>
  <c r="U20" i="1"/>
  <c r="U21" i="1"/>
  <c r="U22" i="1"/>
  <c r="U23" i="1"/>
  <c r="U19" i="1"/>
  <c r="U16" i="1"/>
  <c r="U17" i="1"/>
  <c r="U18" i="1"/>
  <c r="P18" i="2" l="1"/>
  <c r="G21" i="2"/>
  <c r="G18" i="2"/>
  <c r="G15" i="2"/>
  <c r="G12" i="2"/>
  <c r="G9" i="2"/>
  <c r="K21" i="2"/>
  <c r="D21" i="2"/>
  <c r="F21" i="2" s="1"/>
  <c r="C21" i="2"/>
  <c r="E21" i="2" s="1"/>
  <c r="K18" i="2"/>
  <c r="D18" i="2"/>
  <c r="F18" i="2" s="1"/>
  <c r="C18" i="2"/>
  <c r="E18" i="2" s="1"/>
  <c r="K15" i="2"/>
  <c r="D15" i="2"/>
  <c r="F15" i="2" s="1"/>
  <c r="C15" i="2"/>
  <c r="E15" i="2" s="1"/>
  <c r="K12" i="2"/>
  <c r="D12" i="2"/>
  <c r="F12" i="2" s="1"/>
  <c r="I12" i="2" s="1"/>
  <c r="M12" i="2" s="1"/>
  <c r="C12" i="2"/>
  <c r="E12" i="2" s="1"/>
  <c r="H12" i="2" s="1"/>
  <c r="K9" i="2"/>
  <c r="D9" i="2"/>
  <c r="F9" i="2" s="1"/>
  <c r="C9" i="2"/>
  <c r="E9" i="2" s="1"/>
  <c r="K53" i="1"/>
  <c r="K50" i="1"/>
  <c r="K47" i="1"/>
  <c r="K44" i="1"/>
  <c r="K41" i="1"/>
  <c r="K37" i="1"/>
  <c r="K34" i="1"/>
  <c r="K31" i="1"/>
  <c r="K28" i="1"/>
  <c r="K25" i="1"/>
  <c r="K21" i="1"/>
  <c r="K18" i="1"/>
  <c r="K15" i="1"/>
  <c r="K12" i="1"/>
  <c r="K9" i="1"/>
  <c r="G53" i="1"/>
  <c r="G50" i="1"/>
  <c r="G47" i="1"/>
  <c r="G44" i="1"/>
  <c r="G41" i="1"/>
  <c r="G37" i="1"/>
  <c r="G34" i="1"/>
  <c r="G31" i="1"/>
  <c r="G28" i="1"/>
  <c r="G25" i="1"/>
  <c r="G21" i="1"/>
  <c r="G18" i="1"/>
  <c r="G15" i="1"/>
  <c r="G12" i="1"/>
  <c r="G9" i="1"/>
  <c r="D53" i="1"/>
  <c r="F53" i="1" s="1"/>
  <c r="D50" i="1"/>
  <c r="F50" i="1" s="1"/>
  <c r="D47" i="1"/>
  <c r="F47" i="1" s="1"/>
  <c r="D44" i="1"/>
  <c r="F44" i="1" s="1"/>
  <c r="D41" i="1"/>
  <c r="F41" i="1" s="1"/>
  <c r="D37" i="1"/>
  <c r="F37" i="1" s="1"/>
  <c r="D34" i="1"/>
  <c r="F34" i="1" s="1"/>
  <c r="D31" i="1"/>
  <c r="F31" i="1" s="1"/>
  <c r="D28" i="1"/>
  <c r="F28" i="1" s="1"/>
  <c r="D25" i="1"/>
  <c r="F25" i="1" s="1"/>
  <c r="D21" i="1"/>
  <c r="F21" i="1" s="1"/>
  <c r="D18" i="1"/>
  <c r="F18" i="1" s="1"/>
  <c r="D15" i="1"/>
  <c r="F15" i="1" s="1"/>
  <c r="D12" i="1"/>
  <c r="F12" i="1" s="1"/>
  <c r="D9" i="1"/>
  <c r="F9" i="1" s="1"/>
  <c r="I18" i="1" l="1"/>
  <c r="N18" i="1" s="1"/>
  <c r="I44" i="1"/>
  <c r="I31" i="1"/>
  <c r="I47" i="1"/>
  <c r="N47" i="1" s="1"/>
  <c r="H15" i="2"/>
  <c r="H21" i="2"/>
  <c r="H9" i="2"/>
  <c r="L9" i="2" s="1"/>
  <c r="H18" i="2"/>
  <c r="L18" i="2" s="1"/>
  <c r="I15" i="2"/>
  <c r="M15" i="2" s="1"/>
  <c r="L15" i="2"/>
  <c r="L12" i="2"/>
  <c r="L21" i="2"/>
  <c r="I21" i="2"/>
  <c r="M21" i="2" s="1"/>
  <c r="I18" i="2"/>
  <c r="M18" i="2" s="1"/>
  <c r="I9" i="2"/>
  <c r="M9" i="2" s="1"/>
  <c r="I15" i="1"/>
  <c r="N15" i="1" s="1"/>
  <c r="I41" i="1"/>
  <c r="N41" i="1" s="1"/>
  <c r="N44" i="1"/>
  <c r="I21" i="1"/>
  <c r="N21" i="1" s="1"/>
  <c r="I25" i="1"/>
  <c r="N25" i="1" s="1"/>
  <c r="I50" i="1"/>
  <c r="N50" i="1" s="1"/>
  <c r="I28" i="1"/>
  <c r="N28" i="1" s="1"/>
  <c r="I34" i="1"/>
  <c r="N34" i="1" s="1"/>
  <c r="I12" i="1"/>
  <c r="N12" i="1" s="1"/>
  <c r="I37" i="1"/>
  <c r="N37" i="1" s="1"/>
  <c r="I9" i="1"/>
  <c r="N9" i="1" s="1"/>
  <c r="I53" i="1"/>
  <c r="N53" i="1" s="1"/>
  <c r="N31" i="1"/>
  <c r="C53" i="1"/>
  <c r="E53" i="1" s="1"/>
  <c r="H53" i="1" s="1"/>
  <c r="L53" i="1" s="1"/>
  <c r="M53" i="1" s="1"/>
  <c r="C50" i="1"/>
  <c r="E50" i="1" s="1"/>
  <c r="H50" i="1" s="1"/>
  <c r="L50" i="1" s="1"/>
  <c r="M50" i="1" s="1"/>
  <c r="C47" i="1"/>
  <c r="E47" i="1" s="1"/>
  <c r="H47" i="1" s="1"/>
  <c r="L47" i="1" s="1"/>
  <c r="M47" i="1" s="1"/>
  <c r="C44" i="1"/>
  <c r="E44" i="1" s="1"/>
  <c r="H44" i="1" s="1"/>
  <c r="L44" i="1" s="1"/>
  <c r="M44" i="1" s="1"/>
  <c r="C41" i="1"/>
  <c r="E41" i="1" s="1"/>
  <c r="H41" i="1" s="1"/>
  <c r="L41" i="1" s="1"/>
  <c r="M41" i="1" s="1"/>
  <c r="C37" i="1"/>
  <c r="E37" i="1" s="1"/>
  <c r="H37" i="1" s="1"/>
  <c r="L37" i="1" s="1"/>
  <c r="M37" i="1" s="1"/>
  <c r="C34" i="1"/>
  <c r="E34" i="1" s="1"/>
  <c r="H34" i="1" s="1"/>
  <c r="L34" i="1" s="1"/>
  <c r="M34" i="1" s="1"/>
  <c r="C31" i="1"/>
  <c r="E31" i="1" s="1"/>
  <c r="H31" i="1" s="1"/>
  <c r="L31" i="1" s="1"/>
  <c r="M31" i="1" s="1"/>
  <c r="C28" i="1"/>
  <c r="E28" i="1" s="1"/>
  <c r="H28" i="1" s="1"/>
  <c r="L28" i="1" s="1"/>
  <c r="M28" i="1" s="1"/>
  <c r="C25" i="1"/>
  <c r="E25" i="1" s="1"/>
  <c r="H25" i="1" s="1"/>
  <c r="L25" i="1" s="1"/>
  <c r="M25" i="1" s="1"/>
  <c r="C21" i="1"/>
  <c r="E21" i="1" s="1"/>
  <c r="H21" i="1" s="1"/>
  <c r="L21" i="1" s="1"/>
  <c r="C18" i="1"/>
  <c r="E18" i="1" s="1"/>
  <c r="H18" i="1" s="1"/>
  <c r="L18" i="1" s="1"/>
  <c r="C15" i="1"/>
  <c r="E15" i="1" s="1"/>
  <c r="H15" i="1" s="1"/>
  <c r="L15" i="1" s="1"/>
  <c r="C12" i="1"/>
  <c r="E12" i="1" s="1"/>
  <c r="H12" i="1" s="1"/>
  <c r="L12" i="1" s="1"/>
  <c r="C9" i="1"/>
  <c r="E9" i="1" s="1"/>
  <c r="H9" i="1" s="1"/>
  <c r="L9" i="1" s="1"/>
</calcChain>
</file>

<file path=xl/sharedStrings.xml><?xml version="1.0" encoding="utf-8"?>
<sst xmlns="http://schemas.openxmlformats.org/spreadsheetml/2006/main" count="259" uniqueCount="153">
  <si>
    <t>Ident</t>
  </si>
  <si>
    <t>Bromide Concentration</t>
  </si>
  <si>
    <t>Blank</t>
  </si>
  <si>
    <t>Br 10 ppb</t>
  </si>
  <si>
    <t>Br 50 ppb</t>
  </si>
  <si>
    <t>Br 100 ppb</t>
  </si>
  <si>
    <t>NF10.5 - 1</t>
  </si>
  <si>
    <t>NF10.5 - 2</t>
  </si>
  <si>
    <t>NF10.5 - 3</t>
  </si>
  <si>
    <t>NF10 - 1</t>
  </si>
  <si>
    <t>NF10 - 2</t>
  </si>
  <si>
    <t>NF10 - 3</t>
  </si>
  <si>
    <t>NF9 - 1</t>
  </si>
  <si>
    <t>NF9 - 2</t>
  </si>
  <si>
    <t>NF9 - 3</t>
  </si>
  <si>
    <t>NF7 - 1</t>
  </si>
  <si>
    <t>NF7 - 2</t>
  </si>
  <si>
    <t>NF7 - 3</t>
  </si>
  <si>
    <t>NF5 - 1</t>
  </si>
  <si>
    <t>NF5 - 2</t>
  </si>
  <si>
    <t>NF5 - 3</t>
  </si>
  <si>
    <t>1L-10.5 - 1</t>
  </si>
  <si>
    <t>1L-10.5 - 2</t>
  </si>
  <si>
    <t>1L-10.5 - 3</t>
  </si>
  <si>
    <t>1L-10 - 1</t>
  </si>
  <si>
    <t>1L-10 - 2</t>
  </si>
  <si>
    <t>1L-10 - 3</t>
  </si>
  <si>
    <t>1L-9 - 1</t>
  </si>
  <si>
    <t>1L-9 - 2</t>
  </si>
  <si>
    <t>1L-9 - 3</t>
  </si>
  <si>
    <t>1L-7 - 1</t>
  </si>
  <si>
    <t>1L-7 - 2</t>
  </si>
  <si>
    <t>1L-7 - 3</t>
  </si>
  <si>
    <t>1L-5 - 1</t>
  </si>
  <si>
    <t>1L-5 - 2</t>
  </si>
  <si>
    <t>1L-5 - 3</t>
  </si>
  <si>
    <t>5L-10.5 - 1</t>
  </si>
  <si>
    <t>5L-10.5 - 2</t>
  </si>
  <si>
    <t>5L-10.5 - 3</t>
  </si>
  <si>
    <t>5L-10 - 1</t>
  </si>
  <si>
    <t>5L-10 - 2</t>
  </si>
  <si>
    <t>5L-10 - 3</t>
  </si>
  <si>
    <t>5L-9 - 1</t>
  </si>
  <si>
    <t>5L-9 - 2</t>
  </si>
  <si>
    <t>5L-9 - 3</t>
  </si>
  <si>
    <t>5L-7 - 1</t>
  </si>
  <si>
    <t>5L-7 - 2</t>
  </si>
  <si>
    <t>5L-7 - 3</t>
  </si>
  <si>
    <t>5L-5 - 1</t>
  </si>
  <si>
    <t>5L-5 - 2</t>
  </si>
  <si>
    <t>5L-5 - 3</t>
  </si>
  <si>
    <t>ppm</t>
  </si>
  <si>
    <t>Avg</t>
  </si>
  <si>
    <t>Br Conc</t>
  </si>
  <si>
    <t>M</t>
  </si>
  <si>
    <t>StdDev</t>
  </si>
  <si>
    <t>Eluent volume</t>
  </si>
  <si>
    <t>L</t>
  </si>
  <si>
    <t>Br sites</t>
  </si>
  <si>
    <t>atoms</t>
  </si>
  <si>
    <t>Mem Area</t>
  </si>
  <si>
    <t>in^2</t>
  </si>
  <si>
    <t>nm^2</t>
  </si>
  <si>
    <t>PIP Conc</t>
  </si>
  <si>
    <t>sites/nm^2</t>
  </si>
  <si>
    <t>pH</t>
  </si>
  <si>
    <t>PIP conc</t>
  </si>
  <si>
    <t>NF270</t>
  </si>
  <si>
    <t>1L PIP</t>
  </si>
  <si>
    <t>5L PIP</t>
  </si>
  <si>
    <t>PS20 -10.5 - 1</t>
  </si>
  <si>
    <t>PS20 -10.5 - 2</t>
  </si>
  <si>
    <t>PS20 -10.5 - 3</t>
  </si>
  <si>
    <t>PS20 -10 - 1</t>
  </si>
  <si>
    <t>PS20 -10 - 2</t>
  </si>
  <si>
    <t>PS20 -10 - 3</t>
  </si>
  <si>
    <t>PS20 -9 - 1</t>
  </si>
  <si>
    <t>PS20 -9 - 2</t>
  </si>
  <si>
    <t>PS20 -9 - 3</t>
  </si>
  <si>
    <t>PS20 -7 - 1</t>
  </si>
  <si>
    <t>PS20 -7 - 2</t>
  </si>
  <si>
    <t>PS20 -7 - 3</t>
  </si>
  <si>
    <t>PS20 -5 - 1</t>
  </si>
  <si>
    <t>PS20 -5 - 2</t>
  </si>
  <si>
    <t>PS20 -5 - 3</t>
  </si>
  <si>
    <t>mol</t>
  </si>
  <si>
    <t>Br conc</t>
  </si>
  <si>
    <t>PIP corrected (PS20)</t>
  </si>
  <si>
    <t>sites/nm^3</t>
  </si>
  <si>
    <t>Guess:</t>
  </si>
  <si>
    <t>2L PIP</t>
  </si>
  <si>
    <t>pKa1</t>
  </si>
  <si>
    <t>Total Density</t>
  </si>
  <si>
    <t>Fitting Line</t>
  </si>
  <si>
    <t>Actual Value</t>
  </si>
  <si>
    <t>Sq. Error</t>
  </si>
  <si>
    <t>Total</t>
  </si>
  <si>
    <t>SUM</t>
  </si>
  <si>
    <t>[OH-]</t>
  </si>
  <si>
    <t>pKb1</t>
  </si>
  <si>
    <t>Kb1</t>
  </si>
  <si>
    <t>(pKb)</t>
  </si>
  <si>
    <t>(pKa)</t>
  </si>
  <si>
    <t>Bromide Conc</t>
  </si>
  <si>
    <t>2L-10.5 - 1</t>
  </si>
  <si>
    <t>2L-10.5 - 2</t>
  </si>
  <si>
    <t>2L-10.5 - 3</t>
  </si>
  <si>
    <t>2L-10 - 1</t>
  </si>
  <si>
    <t>2L-10 - 2</t>
  </si>
  <si>
    <t>2L-10 - 3</t>
  </si>
  <si>
    <t>2L-9 - 1</t>
  </si>
  <si>
    <t>2L-9 - 2</t>
  </si>
  <si>
    <t>2L-9 - 3</t>
  </si>
  <si>
    <t>2L-7 - 1</t>
  </si>
  <si>
    <t>2L-7 - 2</t>
  </si>
  <si>
    <t>2L-7 - 3</t>
  </si>
  <si>
    <t>2L-5 - 1</t>
  </si>
  <si>
    <t>2L-5 - 2</t>
  </si>
  <si>
    <t>2L-5 - 3</t>
  </si>
  <si>
    <t>Thickness (nm)</t>
  </si>
  <si>
    <t>Membrane</t>
  </si>
  <si>
    <t>1L</t>
  </si>
  <si>
    <t>2L</t>
  </si>
  <si>
    <t>5L</t>
  </si>
  <si>
    <t>Density (sites/nm^2)</t>
  </si>
  <si>
    <t>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</si>
  <si>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</si>
  <si>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</si>
  <si>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</si>
  <si>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</si>
  <si>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</si>
  <si>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</si>
  <si>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</si>
  <si>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</si>
  <si>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</si>
  <si>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</si>
  <si>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</si>
  <si>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</si>
  <si>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</si>
  <si>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</si>
  <si>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</si>
  <si>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</si>
  <si>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</si>
  <si>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</si>
  <si>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</si>
  <si>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</si>
  <si>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</si>
  <si>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</si>
  <si>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</si>
  <si>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</si>
  <si>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</si>
  <si>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</si>
  <si>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Density (sites/nm^2)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</si>
</sst>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164" fontId="16" fillId="0" borderId="0" xfId="0" applyNumberFormat="1" applyFont="1"/>
    <xf numFmtId="0" fontId="0" fillId="0" borderId="0" xfId="0" applyAlignment="1"/>
    <xf numFmtId="1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NF270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'Br binding'!$T$9:$T$13</c:f>
                <c:numCache>
                  <c:formatCode>General</c:formatCode>
                  <c:ptCount val="5"/>
                  <c:pt idx="0">
                    <c:v>0.32162622829143445</c:v>
                  </c:pt>
                  <c:pt idx="1">
                    <c:v>0.15683525706831516</c:v>
                  </c:pt>
                  <c:pt idx="2">
                    <c:v>0.54360327776970307</c:v>
                  </c:pt>
                  <c:pt idx="3">
                    <c:v>0.52339255756460834</c:v>
                  </c:pt>
                  <c:pt idx="4">
                    <c:v>0.57081517089105271</c:v>
                  </c:pt>
                </c:numCache>
              </c:numRef>
            </c:plus>
            <c:minus>
              <c:numRef>
                <c:f>'Br binding'!$T$9:$T$13</c:f>
                <c:numCache>
                  <c:formatCode>General</c:formatCode>
                  <c:ptCount val="5"/>
                  <c:pt idx="0">
                    <c:v>0.32162622829143445</c:v>
                  </c:pt>
                  <c:pt idx="1">
                    <c:v>0.15683525706831516</c:v>
                  </c:pt>
                  <c:pt idx="2">
                    <c:v>0.54360327776970307</c:v>
                  </c:pt>
                  <c:pt idx="3">
                    <c:v>0.52339255756460834</c:v>
                  </c:pt>
                  <c:pt idx="4">
                    <c:v>0.57081517089105271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'Br binding'!$R$9:$R$13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binding'!$S$9:$S$13</c:f>
              <c:numCache>
                <c:formatCode>0.000</c:formatCode>
                <c:ptCount val="5"/>
                <c:pt idx="0">
                  <c:v>1.0383822583216278</c:v>
                </c:pt>
                <c:pt idx="1">
                  <c:v>0.51919112916081378</c:v>
                </c:pt>
                <c:pt idx="2">
                  <c:v>3.1281265531939026</c:v>
                </c:pt>
                <c:pt idx="3">
                  <c:v>4.7116594971343853</c:v>
                </c:pt>
                <c:pt idx="4">
                  <c:v>3.8809536904770843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9-45C8-BD54-29ADCE54DA44}"/>
            </c:ext>
          </c:extLst>
        </c:ser>
        <c:ser>
          <c:idx val="1"/>
          <c:order val="1"/>
          <c:tx>
            <c:v>1L PIP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'Br binding'!$T$14:$T$18</c:f>
                <c:numCache>
                  <c:formatCode>General</c:formatCode>
                  <c:ptCount val="5"/>
                  <c:pt idx="0">
                    <c:v>0.65338713259759729</c:v>
                  </c:pt>
                  <c:pt idx="1">
                    <c:v>0.64872926394654606</c:v>
                  </c:pt>
                  <c:pt idx="2">
                    <c:v>1.08208075852874</c:v>
                  </c:pt>
                  <c:pt idx="3">
                    <c:v>1.0517625706946894</c:v>
                  </c:pt>
                  <c:pt idx="4">
                    <c:v>0.94011593780761316</c:v>
                  </c:pt>
                </c:numCache>
              </c:numRef>
            </c:plus>
            <c:minus>
              <c:numRef>
                <c:f>'Br binding'!$T$14:$T$18</c:f>
                <c:numCache>
                  <c:formatCode>General</c:formatCode>
                  <c:ptCount val="5"/>
                  <c:pt idx="0">
                    <c:v>0.65338713259759729</c:v>
                  </c:pt>
                  <c:pt idx="1">
                    <c:v>0.64872926394654606</c:v>
                  </c:pt>
                  <c:pt idx="2">
                    <c:v>1.08208075852874</c:v>
                  </c:pt>
                  <c:pt idx="3">
                    <c:v>1.0517625706946894</c:v>
                  </c:pt>
                  <c:pt idx="4">
                    <c:v>0.94011593780761316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'Br binding'!$R$14:$R$18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binding'!$S$14:$S$18</c:f>
              <c:numCache>
                <c:formatCode>0.000</c:formatCode>
                <c:ptCount val="5"/>
                <c:pt idx="0">
                  <c:v>0.83368167423235118</c:v>
                </c:pt>
                <c:pt idx="1">
                  <c:v>1.2230750211029613</c:v>
                </c:pt>
                <c:pt idx="2">
                  <c:v>3.3128193159752364</c:v>
                </c:pt>
                <c:pt idx="3">
                  <c:v>4.0137273403423359</c:v>
                </c:pt>
                <c:pt idx="4">
                  <c:v>3.1311024207689524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9-45C8-BD54-29ADCE54DA44}"/>
            </c:ext>
          </c:extLst>
        </c:ser>
        <c:ser>
          <c:idx val="2"/>
          <c:order val="2"/>
          <c:tx>
            <c:v>5L PIP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'Br binding'!$T$19:$T$23</c:f>
                <c:numCache>
                  <c:formatCode>General</c:formatCode>
                  <c:ptCount val="5"/>
                  <c:pt idx="0">
                    <c:v>0.28673267292511451</c:v>
                  </c:pt>
                  <c:pt idx="1">
                    <c:v>0.19164412891255503</c:v>
                  </c:pt>
                  <c:pt idx="2">
                    <c:v>1.8016194019884115</c:v>
                  </c:pt>
                  <c:pt idx="3">
                    <c:v>0.95610847304963831</c:v>
                  </c:pt>
                  <c:pt idx="4">
                    <c:v>1.0651329706272468</c:v>
                  </c:pt>
                </c:numCache>
              </c:numRef>
            </c:plus>
            <c:minus>
              <c:numRef>
                <c:f>'Br binding'!$T$19:$T$23</c:f>
                <c:numCache>
                  <c:formatCode>General</c:formatCode>
                  <c:ptCount val="5"/>
                  <c:pt idx="0">
                    <c:v>0.28673267292511451</c:v>
                  </c:pt>
                  <c:pt idx="1">
                    <c:v>0.19164412891255503</c:v>
                  </c:pt>
                  <c:pt idx="2">
                    <c:v>1.8016194019884115</c:v>
                  </c:pt>
                  <c:pt idx="3">
                    <c:v>0.95610847304963831</c:v>
                  </c:pt>
                  <c:pt idx="4">
                    <c:v>1.0651329706272468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'Br binding'!$R$19:$R$23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binding'!$S$19:$S$23</c:f>
              <c:numCache>
                <c:formatCode>0.000</c:formatCode>
                <c:ptCount val="5"/>
                <c:pt idx="0">
                  <c:v>0.66494455725508628</c:v>
                </c:pt>
                <c:pt idx="1">
                  <c:v>0.70388389194214707</c:v>
                </c:pt>
                <c:pt idx="2">
                  <c:v>6.5318043167722823</c:v>
                </c:pt>
                <c:pt idx="3">
                  <c:v>7.8427619179033368</c:v>
                </c:pt>
                <c:pt idx="4">
                  <c:v>8.141296817170808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9-45C8-BD54-29ADCE54DA44}"/>
            </c:ext>
          </c:extLst>
        </c:ser>
        <c:ser>
          <c:idx val="3"/>
          <c:order val="3"/>
          <c:tx>
            <c:v>2L PIP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'Br binding'!$T$24:$T$28</c:f>
                <c:numCache>
                  <c:formatCode>General</c:formatCode>
                  <c:ptCount val="5"/>
                  <c:pt idx="0">
                    <c:v>0.18629486421304661</c:v>
                  </c:pt>
                  <c:pt idx="1">
                    <c:v>0.22027414089690725</c:v>
                  </c:pt>
                  <c:pt idx="2">
                    <c:v>0.3024227605901218</c:v>
                  </c:pt>
                  <c:pt idx="3">
                    <c:v>0.16872084154733577</c:v>
                  </c:pt>
                  <c:pt idx="4">
                    <c:v>0.20983376208708851</c:v>
                  </c:pt>
                </c:numCache>
              </c:numRef>
            </c:plus>
            <c:minus>
              <c:numRef>
                <c:f>'Br binding'!$T$24:$T$28</c:f>
                <c:numCache>
                  <c:formatCode>General</c:formatCode>
                  <c:ptCount val="5"/>
                  <c:pt idx="0">
                    <c:v>0.18629486421304661</c:v>
                  </c:pt>
                  <c:pt idx="1">
                    <c:v>0.22027414089690725</c:v>
                  </c:pt>
                  <c:pt idx="2">
                    <c:v>0.3024227605901218</c:v>
                  </c:pt>
                  <c:pt idx="3">
                    <c:v>0.16872084154733577</c:v>
                  </c:pt>
                  <c:pt idx="4">
                    <c:v>0.20983376208708851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'Br binding'!$R$24:$R$28</c:f>
              <c:numCache>
                <c:formatCode>General</c:formatCode>
                <c:ptCount val="5"/>
                <c:pt idx="0">
                  <c:v>10.48</c:v>
                </c:pt>
                <c:pt idx="1">
                  <c:v>10.050000000000001</c:v>
                </c:pt>
                <c:pt idx="2">
                  <c:v>9.07</c:v>
                </c:pt>
                <c:pt idx="3">
                  <c:v>7.23</c:v>
                </c:pt>
                <c:pt idx="4">
                  <c:v>5.04</c:v>
                </c:pt>
              </c:numCache>
            </c:numRef>
          </c:xVal>
          <c:yVal>
            <c:numRef>
              <c:f>'Br binding'!$S$24:$S$28</c:f>
              <c:numCache>
                <c:formatCode>0.000</c:formatCode>
                <c:ptCount val="5"/>
                <c:pt idx="0">
                  <c:v>0.93751990006451447</c:v>
                </c:pt>
                <c:pt idx="1">
                  <c:v>0.72984344840018833</c:v>
                </c:pt>
                <c:pt idx="2">
                  <c:v>3.4896038954544943</c:v>
                </c:pt>
                <c:pt idx="3">
                  <c:v>4.510203857602364</c:v>
                </c:pt>
                <c:pt idx="4">
                  <c:v>4.4173984432648679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4-4F96-A17B-CB8B1A1A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81752"/>
        <c:axId val="933982080"/>
      </c:scatterChart>
      <c:valAx>
        <c:axId val="933981752"/>
        <c:scaling>
          <c:orientation val="minMax"/>
          <c:max val="1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2080"/>
        <c:crosses val="autoZero"/>
        <c:crossBetween val="midCat"/>
        <c:majorUnit val="1"/>
      </c:valAx>
      <c:valAx>
        <c:axId val="93398208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Sites/nm^2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 binding'!$R$9:$R$13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binding'!$U$9:$U$13</c:f>
              <c:numCache>
                <c:formatCode>General</c:formatCode>
                <c:ptCount val="5"/>
                <c:pt idx="0">
                  <c:v>7.8665322600123322E-2</c:v>
                </c:pt>
                <c:pt idx="1">
                  <c:v>3.9332661300061654E-2</c:v>
                </c:pt>
                <c:pt idx="2">
                  <c:v>0.23697928433287144</c:v>
                </c:pt>
                <c:pt idx="3">
                  <c:v>0.35694390129805953</c:v>
                </c:pt>
                <c:pt idx="4">
                  <c:v>0.29401164321796097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7-4560-A1FD-FE072A36C7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 binding'!$R$14:$R$18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binding'!$U$14:$U$18</c:f>
              <c:numCache>
                <c:formatCode>General</c:formatCode>
                <c:ptCount val="5"/>
                <c:pt idx="0">
                  <c:v>6.3157702593359941E-2</c:v>
                </c:pt>
                <c:pt idx="1">
                  <c:v>4.8057957607189047E-2</c:v>
                </c:pt>
                <c:pt idx="2">
                  <c:v>0.13016971772004859</c:v>
                </c:pt>
                <c:pt idx="3">
                  <c:v>0.15771030806846115</c:v>
                </c:pt>
                <c:pt idx="4">
                  <c:v>0.12302956466675648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7-4560-A1FD-FE072A36C7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 binding'!$R$19:$R$23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'Br binding'!$U$19:$U$23</c:f>
              <c:numCache>
                <c:formatCode>General</c:formatCode>
                <c:ptCount val="5"/>
                <c:pt idx="0">
                  <c:v>5.9636283161891143E-3</c:v>
                </c:pt>
                <c:pt idx="1">
                  <c:v>6.3128600174183593E-3</c:v>
                </c:pt>
                <c:pt idx="2">
                  <c:v>5.8581204634728989E-2</c:v>
                </c:pt>
                <c:pt idx="3">
                  <c:v>7.0338671909446968E-2</c:v>
                </c:pt>
                <c:pt idx="4">
                  <c:v>7.3016114952204558E-2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7-4560-A1FD-FE072A36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81752"/>
        <c:axId val="933982080"/>
      </c:scatterChart>
      <c:valAx>
        <c:axId val="933981752"/>
        <c:scaling>
          <c:orientation val="minMax"/>
          <c:max val="1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2080"/>
        <c:crosses val="autoZero"/>
        <c:crossBetween val="midCat"/>
        <c:majorUnit val="1"/>
      </c:valAx>
      <c:valAx>
        <c:axId val="933982080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Sites/nm^3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17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Fitting!$D$2:$D$6</c:f>
                <c:numCache>
                  <c:formatCode>General</c:formatCode>
                  <c:ptCount val="5"/>
                  <c:pt idx="0">
                    <c:v>0.65338713259759729</c:v>
                  </c:pt>
                  <c:pt idx="1">
                    <c:v>0.64872926394654606</c:v>
                  </c:pt>
                  <c:pt idx="2">
                    <c:v>1.08208075852874</c:v>
                  </c:pt>
                  <c:pt idx="3">
                    <c:v>1.0517625706946894</c:v>
                  </c:pt>
                  <c:pt idx="4">
                    <c:v>0.94011593780761316</c:v>
                  </c:pt>
                </c:numCache>
              </c:numRef>
            </c:plus>
            <c:minus>
              <c:numRef>
                <c:f>Fitting!$D$2:$D$6</c:f>
                <c:numCache>
                  <c:formatCode>General</c:formatCode>
                  <c:ptCount val="5"/>
                  <c:pt idx="0">
                    <c:v>0.65338713259759729</c:v>
                  </c:pt>
                  <c:pt idx="1">
                    <c:v>0.64872926394654606</c:v>
                  </c:pt>
                  <c:pt idx="2">
                    <c:v>1.08208075852874</c:v>
                  </c:pt>
                  <c:pt idx="3">
                    <c:v>1.0517625706946894</c:v>
                  </c:pt>
                  <c:pt idx="4">
                    <c:v>0.94011593780761316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Fitting!$B$2:$B$6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Fitting!$C$2:$C$6</c:f>
              <c:numCache>
                <c:formatCode>0.000</c:formatCode>
                <c:ptCount val="5"/>
                <c:pt idx="0">
                  <c:v>0.83368167423235118</c:v>
                </c:pt>
                <c:pt idx="1">
                  <c:v>1.2230750211029613</c:v>
                </c:pt>
                <c:pt idx="2">
                  <c:v>3.3128193159752364</c:v>
                </c:pt>
                <c:pt idx="3">
                  <c:v>4.0137273403423359</c:v>
                </c:pt>
                <c:pt idx="4">
                  <c:v>3.1311024207689524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E-4370-82FA-797A26A6966D}"/>
            </c:ext>
          </c:extLst>
        </c:ser>
        <c:ser>
          <c:idx val="1"/>
          <c:order val="1"/>
          <c:tx>
            <c:v>1L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Fitting!$G$4:$G$24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Fitting!$L$4:$L$24</c:f>
              <c:numCache>
                <c:formatCode>0.000</c:formatCode>
                <c:ptCount val="21"/>
                <c:pt idx="0">
                  <c:v>3.4999999507169046</c:v>
                </c:pt>
                <c:pt idx="1">
                  <c:v>3.499999844153173</c:v>
                </c:pt>
                <c:pt idx="2">
                  <c:v>3.4999995071691079</c:v>
                </c:pt>
                <c:pt idx="3">
                  <c:v>3.4999984415323553</c:v>
                </c:pt>
                <c:pt idx="4">
                  <c:v>3.4999950716973278</c:v>
                </c:pt>
                <c:pt idx="5">
                  <c:v>3.499984415386006</c:v>
                </c:pt>
                <c:pt idx="6">
                  <c:v>3.4999507175978186</c:v>
                </c:pt>
                <c:pt idx="7">
                  <c:v>3.4998441601052983</c:v>
                </c:pt>
                <c:pt idx="8">
                  <c:v>3.4995072384239774</c:v>
                </c:pt>
                <c:pt idx="9">
                  <c:v>3.4984422253018481</c:v>
                </c:pt>
                <c:pt idx="10">
                  <c:v>3.4950786201260922</c:v>
                </c:pt>
                <c:pt idx="11">
                  <c:v>3.4844844039403977</c:v>
                </c:pt>
                <c:pt idx="12">
                  <c:v>3.4514012177240367</c:v>
                </c:pt>
                <c:pt idx="13">
                  <c:v>3.3507968349352995</c:v>
                </c:pt>
                <c:pt idx="14">
                  <c:v>3.0679986503315479</c:v>
                </c:pt>
                <c:pt idx="15">
                  <c:v>2.4216816592180805</c:v>
                </c:pt>
                <c:pt idx="16">
                  <c:v>1.4534349785141281</c:v>
                </c:pt>
                <c:pt idx="17">
                  <c:v>0.64187598769344922</c:v>
                </c:pt>
                <c:pt idx="18">
                  <c:v>0.23208187658933371</c:v>
                </c:pt>
                <c:pt idx="19">
                  <c:v>7.6876331340310577E-2</c:v>
                </c:pt>
                <c:pt idx="20">
                  <c:v>2.4681111913893054E-2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E-4370-82FA-797A26A6966D}"/>
            </c:ext>
          </c:extLst>
        </c:ser>
        <c:ser>
          <c:idx val="2"/>
          <c:order val="2"/>
          <c:tx>
            <c:v>5L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Fitting!$D$14:$D$18</c:f>
                <c:numCache>
                  <c:formatCode>General</c:formatCode>
                  <c:ptCount val="5"/>
                  <c:pt idx="0">
                    <c:v>0.28673267292511451</c:v>
                  </c:pt>
                  <c:pt idx="1">
                    <c:v>0.19164412891255503</c:v>
                  </c:pt>
                  <c:pt idx="2">
                    <c:v>1.8016194019884115</c:v>
                  </c:pt>
                  <c:pt idx="3">
                    <c:v>0.95610847304963831</c:v>
                  </c:pt>
                  <c:pt idx="4">
                    <c:v>1.0651329706272468</c:v>
                  </c:pt>
                </c:numCache>
              </c:numRef>
            </c:plus>
            <c:minus>
              <c:numRef>
                <c:f>Fitting!$D$14:$D$18</c:f>
                <c:numCache>
                  <c:formatCode>General</c:formatCode>
                  <c:ptCount val="5"/>
                  <c:pt idx="0">
                    <c:v>0.28673267292511451</c:v>
                  </c:pt>
                  <c:pt idx="1">
                    <c:v>0.19164412891255503</c:v>
                  </c:pt>
                  <c:pt idx="2">
                    <c:v>1.8016194019884115</c:v>
                  </c:pt>
                  <c:pt idx="3">
                    <c:v>0.95610847304963831</c:v>
                  </c:pt>
                  <c:pt idx="4">
                    <c:v>1.0651329706272468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Fitting!$B$14:$B$18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Fitting!$C$14:$C$18</c:f>
              <c:numCache>
                <c:formatCode>0.000</c:formatCode>
                <c:ptCount val="5"/>
                <c:pt idx="0">
                  <c:v>0.66494455725508628</c:v>
                </c:pt>
                <c:pt idx="1">
                  <c:v>0.70388389194214707</c:v>
                </c:pt>
                <c:pt idx="2">
                  <c:v>6.5318043167722823</c:v>
                </c:pt>
                <c:pt idx="3">
                  <c:v>7.8427619179033368</c:v>
                </c:pt>
                <c:pt idx="4">
                  <c:v>8.141296817170808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E-4370-82FA-797A26A6966D}"/>
            </c:ext>
          </c:extLst>
        </c:ser>
        <c:ser>
          <c:idx val="3"/>
          <c:order val="3"/>
          <c:tx>
            <c:v>5L Fit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Fitting!$G$29:$G$49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Fitting!$L$29:$L$49</c:f>
              <c:numCache>
                <c:formatCode>0.000</c:formatCode>
                <c:ptCount val="21"/>
                <c:pt idx="0">
                  <c:v>8.140999686769403</c:v>
                </c:pt>
                <c:pt idx="1">
                  <c:v>8.1409990094779605</c:v>
                </c:pt>
                <c:pt idx="2">
                  <c:v>8.1409968676951046</c:v>
                </c:pt>
                <c:pt idx="3">
                  <c:v>8.1409900947904461</c:v>
                </c:pt>
                <c:pt idx="4">
                  <c:v>8.1409686770595133</c:v>
                </c:pt>
                <c:pt idx="5">
                  <c:v>8.1409009489891027</c:v>
                </c:pt>
                <c:pt idx="6">
                  <c:v>8.1406867814412625</c:v>
                </c:pt>
                <c:pt idx="7">
                  <c:v>8.140009598342381</c:v>
                </c:pt>
                <c:pt idx="8">
                  <c:v>8.1378688986125542</c:v>
                </c:pt>
                <c:pt idx="9">
                  <c:v>8.1311068155128385</c:v>
                </c:pt>
                <c:pt idx="10">
                  <c:v>8.109796994718856</c:v>
                </c:pt>
                <c:pt idx="11">
                  <c:v>8.0431384731791606</c:v>
                </c:pt>
                <c:pt idx="12">
                  <c:v>7.8393746346723017</c:v>
                </c:pt>
                <c:pt idx="13">
                  <c:v>7.2579225932275016</c:v>
                </c:pt>
                <c:pt idx="14">
                  <c:v>5.8790101510488793</c:v>
                </c:pt>
                <c:pt idx="15">
                  <c:v>3.6725627362264563</c:v>
                </c:pt>
                <c:pt idx="16">
                  <c:v>1.6793984023504807</c:v>
                </c:pt>
                <c:pt idx="17">
                  <c:v>0.61828428547849013</c:v>
                </c:pt>
                <c:pt idx="18">
                  <c:v>0.20622817613608405</c:v>
                </c:pt>
                <c:pt idx="19">
                  <c:v>6.6364599811577107E-2</c:v>
                </c:pt>
                <c:pt idx="20">
                  <c:v>2.1103963506354021E-2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E-4370-82FA-797A26A6966D}"/>
            </c:ext>
          </c:extLst>
        </c:ser>
        <c:ser>
          <c:idx val="4"/>
          <c:order val="4"/>
          <c:tx>
            <c:v>NF270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Fitting!$D$20:$D$24</c:f>
                <c:numCache>
                  <c:formatCode>General</c:formatCode>
                  <c:ptCount val="5"/>
                  <c:pt idx="0">
                    <c:v>0.32162622829143445</c:v>
                  </c:pt>
                  <c:pt idx="1">
                    <c:v>0.15683525706831516</c:v>
                  </c:pt>
                  <c:pt idx="2">
                    <c:v>0.54360327776970307</c:v>
                  </c:pt>
                  <c:pt idx="3">
                    <c:v>0.52339255756460834</c:v>
                  </c:pt>
                  <c:pt idx="4">
                    <c:v>0.57081517089105271</c:v>
                  </c:pt>
                </c:numCache>
              </c:numRef>
            </c:plus>
            <c:minus>
              <c:numRef>
                <c:f>Fitting!$D$20:$D$24</c:f>
                <c:numCache>
                  <c:formatCode>General</c:formatCode>
                  <c:ptCount val="5"/>
                  <c:pt idx="0">
                    <c:v>0.32162622829143445</c:v>
                  </c:pt>
                  <c:pt idx="1">
                    <c:v>0.15683525706831516</c:v>
                  </c:pt>
                  <c:pt idx="2">
                    <c:v>0.54360327776970307</c:v>
                  </c:pt>
                  <c:pt idx="3">
                    <c:v>0.52339255756460834</c:v>
                  </c:pt>
                  <c:pt idx="4">
                    <c:v>0.57081517089105271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Fitting!$B$20:$B$24</c:f>
              <c:numCache>
                <c:formatCode>General</c:formatCode>
                <c:ptCount val="5"/>
                <c:pt idx="0">
                  <c:v>10.5</c:v>
                </c:pt>
                <c:pt idx="1">
                  <c:v>9.9600000000000009</c:v>
                </c:pt>
                <c:pt idx="2">
                  <c:v>8.9</c:v>
                </c:pt>
                <c:pt idx="3">
                  <c:v>6.6</c:v>
                </c:pt>
                <c:pt idx="4">
                  <c:v>5.18</c:v>
                </c:pt>
              </c:numCache>
            </c:numRef>
          </c:xVal>
          <c:yVal>
            <c:numRef>
              <c:f>Fitting!$C$20:$C$24</c:f>
              <c:numCache>
                <c:formatCode>0.000</c:formatCode>
                <c:ptCount val="5"/>
                <c:pt idx="0">
                  <c:v>1.0383822583216278</c:v>
                </c:pt>
                <c:pt idx="1">
                  <c:v>0.51919112916081378</c:v>
                </c:pt>
                <c:pt idx="2">
                  <c:v>3.1281265531939026</c:v>
                </c:pt>
                <c:pt idx="3">
                  <c:v>4.7116594971343853</c:v>
                </c:pt>
                <c:pt idx="4">
                  <c:v>3.8809536904770843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E-4370-82FA-797A26A6966D}"/>
            </c:ext>
          </c:extLst>
        </c:ser>
        <c:ser>
          <c:idx val="5"/>
          <c:order val="5"/>
          <c:tx>
            <c:v>NF270 Fit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Fitting!$P$29:$P$49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Fitting!$U$29:$U$49</c:f>
              <c:numCache>
                <c:formatCode>0.000</c:formatCode>
                <c:ptCount val="21"/>
                <c:pt idx="0">
                  <c:v>4.3999998177312456</c:v>
                </c:pt>
                <c:pt idx="1">
                  <c:v>4.3999994236156406</c:v>
                </c:pt>
                <c:pt idx="2">
                  <c:v>4.3999981773131331</c:v>
                </c:pt>
                <c:pt idx="3">
                  <c:v>4.3999942361632014</c:v>
                </c:pt>
                <c:pt idx="4">
                  <c:v>4.3999817731992801</c:v>
                </c:pt>
                <c:pt idx="5">
                  <c:v>4.3999423623115357</c:v>
                </c:pt>
                <c:pt idx="6">
                  <c:v>4.3998177387878785</c:v>
                </c:pt>
                <c:pt idx="7">
                  <c:v>4.3994236910594502</c:v>
                </c:pt>
                <c:pt idx="8">
                  <c:v>4.3981780671081614</c:v>
                </c:pt>
                <c:pt idx="9">
                  <c:v>4.3942436962045166</c:v>
                </c:pt>
                <c:pt idx="10">
                  <c:v>4.3818483166136639</c:v>
                </c:pt>
                <c:pt idx="11">
                  <c:v>4.3431068368135062</c:v>
                </c:pt>
                <c:pt idx="12">
                  <c:v>4.2249813366534283</c:v>
                </c:pt>
                <c:pt idx="13">
                  <c:v>3.8903746792359226</c:v>
                </c:pt>
                <c:pt idx="14">
                  <c:v>3.1111958649932947</c:v>
                </c:pt>
                <c:pt idx="15">
                  <c:v>1.9047910744847032</c:v>
                </c:pt>
                <c:pt idx="16">
                  <c:v>0.85561965373477722</c:v>
                </c:pt>
                <c:pt idx="17">
                  <c:v>0.31206456687688394</c:v>
                </c:pt>
                <c:pt idx="18">
                  <c:v>0.10371312140036387</c:v>
                </c:pt>
                <c:pt idx="19">
                  <c:v>3.3334226666354459E-2</c:v>
                </c:pt>
                <c:pt idx="20">
                  <c:v>1.0596098272735794E-2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E-4370-82FA-797A26A6966D}"/>
            </c:ext>
          </c:extLst>
        </c:ser>
        <c:ser>
          <c:idx val="6"/>
          <c:order val="6"/>
          <c:tx>
            <c:v>2L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Fitting!$D$8:$D$12</c:f>
                <c:numCache>
                  <c:formatCode>General</c:formatCode>
                  <c:ptCount val="5"/>
                  <c:pt idx="0">
                    <c:v>0.18629486421304661</c:v>
                  </c:pt>
                  <c:pt idx="1">
                    <c:v>0.22027414089690725</c:v>
                  </c:pt>
                  <c:pt idx="2">
                    <c:v>0.3024227605901218</c:v>
                  </c:pt>
                  <c:pt idx="3">
                    <c:v>0.16872084154733577</c:v>
                  </c:pt>
                  <c:pt idx="4">
                    <c:v>0.20983376208708851</c:v>
                  </c:pt>
                </c:numCache>
              </c:numRef>
            </c:plus>
            <c:minus>
              <c:numRef>
                <c:f>Fitting!$D$8:$D$12</c:f>
                <c:numCache>
                  <c:formatCode>General</c:formatCode>
                  <c:ptCount val="5"/>
                  <c:pt idx="0">
                    <c:v>0.18629486421304661</c:v>
                  </c:pt>
                  <c:pt idx="1">
                    <c:v>0.22027414089690725</c:v>
                  </c:pt>
                  <c:pt idx="2">
                    <c:v>0.3024227605901218</c:v>
                  </c:pt>
                  <c:pt idx="3">
                    <c:v>0.16872084154733577</c:v>
                  </c:pt>
                  <c:pt idx="4">
                    <c:v>0.20983376208708851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Fitting!$B$8:$B$12</c:f>
              <c:numCache>
                <c:formatCode>General</c:formatCode>
                <c:ptCount val="5"/>
                <c:pt idx="0">
                  <c:v>10.48</c:v>
                </c:pt>
                <c:pt idx="1">
                  <c:v>10.050000000000001</c:v>
                </c:pt>
                <c:pt idx="2">
                  <c:v>9.07</c:v>
                </c:pt>
                <c:pt idx="3">
                  <c:v>7.23</c:v>
                </c:pt>
                <c:pt idx="4">
                  <c:v>5.04</c:v>
                </c:pt>
              </c:numCache>
            </c:numRef>
          </c:xVal>
          <c:yVal>
            <c:numRef>
              <c:f>Fitting!$C$8:$C$12</c:f>
              <c:numCache>
                <c:formatCode>0.000</c:formatCode>
                <c:ptCount val="5"/>
                <c:pt idx="0">
                  <c:v>0.93751990006451447</c:v>
                </c:pt>
                <c:pt idx="1">
                  <c:v>0.72984344840018833</c:v>
                </c:pt>
                <c:pt idx="2">
                  <c:v>3.4896038954544943</c:v>
                </c:pt>
                <c:pt idx="3">
                  <c:v>4.510203857602364</c:v>
                </c:pt>
                <c:pt idx="4">
                  <c:v>4.4173984432648679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B-4FF6-8971-D2CC4559F6DA}"/>
            </c:ext>
          </c:extLst>
        </c:ser>
        <c:ser>
          <c:idx val="7"/>
          <c:order val="7"/>
          <c:tx>
            <c:v>2L Fit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Fitting!$P$4:$P$24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Fitting!$U$4:$U$24</c:f>
              <c:numCache>
                <c:formatCode>0.000</c:formatCode>
                <c:ptCount val="21"/>
                <c:pt idx="0">
                  <c:v>4.4639998586209026</c:v>
                </c:pt>
                <c:pt idx="1">
                  <c:v>4.4639995529200709</c:v>
                </c:pt>
                <c:pt idx="2">
                  <c:v>4.4639985862094314</c:v>
                </c:pt>
                <c:pt idx="3">
                  <c:v>4.4639955292047295</c:v>
                </c:pt>
                <c:pt idx="4">
                  <c:v>4.4639858621346082</c:v>
                </c:pt>
                <c:pt idx="5">
                  <c:v>4.4639552924502706</c:v>
                </c:pt>
                <c:pt idx="6">
                  <c:v>4.4638586253757868</c:v>
                </c:pt>
                <c:pt idx="7">
                  <c:v>4.4635529647967553</c:v>
                </c:pt>
                <c:pt idx="8">
                  <c:v>4.4625866566024124</c:v>
                </c:pt>
                <c:pt idx="9">
                  <c:v>4.4595336733813129</c:v>
                </c:pt>
                <c:pt idx="10">
                  <c:v>4.4499067245680362</c:v>
                </c:pt>
                <c:pt idx="11">
                  <c:v>4.419735323536421</c:v>
                </c:pt>
                <c:pt idx="12">
                  <c:v>4.3269610514207555</c:v>
                </c:pt>
                <c:pt idx="13">
                  <c:v>4.0576199332955039</c:v>
                </c:pt>
                <c:pt idx="14">
                  <c:v>3.3902695660692541</c:v>
                </c:pt>
                <c:pt idx="15">
                  <c:v>2.2303013565720011</c:v>
                </c:pt>
                <c:pt idx="16">
                  <c:v>1.0712499856166628</c:v>
                </c:pt>
                <c:pt idx="17">
                  <c:v>0.40525699623402056</c:v>
                </c:pt>
                <c:pt idx="18">
                  <c:v>0.13663516320169597</c:v>
                </c:pt>
                <c:pt idx="19">
                  <c:v>4.4131462514103673E-2</c:v>
                </c:pt>
                <c:pt idx="20">
                  <c:v>1.4050573249405465E-2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B-4FF6-8971-D2CC4559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8112"/>
        <c:axId val="625909752"/>
      </c:scatterChart>
      <c:valAx>
        <c:axId val="625908112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9752"/>
        <c:crosses val="autoZero"/>
        <c:crossBetween val="midCat"/>
        <c:majorUnit val="2"/>
      </c:valAx>
      <c:valAx>
        <c:axId val="625909752"/>
        <c:scaling>
          <c:orientation val="minMax"/>
          <c:max val="1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81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67650918635173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PIPvthickness!$B$2:$B$4</c:f>
              <c:numCache>
                <c:formatCode>General</c:formatCode>
                <c:ptCount val="3"/>
                <c:pt idx="0">
                  <c:v>25.45</c:v>
                </c:pt>
                <c:pt idx="1">
                  <c:v>56.4</c:v>
                </c:pt>
                <c:pt idx="2">
                  <c:v>111.5</c:v>
                </c:pt>
              </c:numCache>
            </c:numRef>
          </c:xVal>
          <c:yVal>
            <c:numRef>
              <c:f>PIPvthickness!$C$2:$C$4</c:f>
              <c:numCache>
                <c:formatCode>General</c:formatCode>
                <c:ptCount val="3"/>
                <c:pt idx="0">
                  <c:v>3.5</c:v>
                </c:pt>
                <c:pt idx="1">
                  <c:v>4.4640000000000004</c:v>
                </c:pt>
                <c:pt idx="2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8-448D-9D99-EAD216ABA53E}"/>
            </c:ext>
          </c:extLst>
        </c:ser>
        <c:ser>
          <c:idx val="1"/>
          <c:order val="1"/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PIPvthickness!$F$3:$F$4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xVal>
          <c:yVal>
            <c:numRef>
              <c:f>PIPvthickness!$G$3:$G$4</c:f>
              <c:numCache>
                <c:formatCode>General</c:formatCode>
                <c:ptCount val="2"/>
                <c:pt idx="0">
                  <c:v>1.7965</c:v>
                </c:pt>
                <c:pt idx="1">
                  <c:v>8.7214999999999989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8-448D-9D99-EAD216AB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2207"/>
        <c:axId val="179744399"/>
      </c:scatterChart>
      <c:valAx>
        <c:axId val="17741220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4399"/>
        <c:crosses val="autoZero"/>
        <c:crossBetween val="midCat"/>
      </c:valAx>
      <c:valAx>
        <c:axId val="1797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(nm)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 (sites/nm^2)</c:v>
          </c:tx>
          <c:spPr>
            <a:ln w="19050">
              <a:noFill/>
            </a:ln>
          </c:spPr>
          <c:xVal>
            <c:numRef>
              <c:f>PIPvthickness!$B$2:$B$4</c:f>
              <c:numCache>
                <c:formatCode>General</c:formatCode>
                <c:ptCount val="3"/>
                <c:pt idx="0">
                  <c:v>25.45</c:v>
                </c:pt>
                <c:pt idx="1">
                  <c:v>56.4</c:v>
                </c:pt>
                <c:pt idx="2">
                  <c:v>111.5</c:v>
                </c:pt>
              </c:numCache>
            </c:numRef>
          </c:xVal>
          <c:yVal>
            <c:numRef>
              <c:f>PIPvthickness!$C$2:$C$4</c:f>
              <c:numCache>
                <c:formatCode>General</c:formatCode>
                <c:ptCount val="3"/>
                <c:pt idx="0">
                  <c:v>3.5</c:v>
                </c:pt>
                <c:pt idx="1">
                  <c:v>4.4640000000000004</c:v>
                </c:pt>
                <c:pt idx="2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2-40A9-B4EC-F607B97A1A45}"/>
            </c:ext>
          </c:extLst>
        </c:ser>
        <c:ser>
          <c:idx val="1"/>
          <c:order val="1"/>
          <c:tx>
            <c:v>Predicted Density (sites/nm^2)</c:v>
          </c:tx>
          <c:spPr>
            <a:ln w="19050">
              <a:noFill/>
            </a:ln>
          </c:spPr>
          <c:xVal>
            <c:numRef>
              <c:f>PIPvthickness!$B$2:$B$4</c:f>
              <c:numCache>
                <c:formatCode>General</c:formatCode>
                <c:ptCount val="3"/>
                <c:pt idx="0">
                  <c:v>25.45</c:v>
                </c:pt>
                <c:pt idx="1">
                  <c:v>56.4</c:v>
                </c:pt>
                <c:pt idx="2">
                  <c:v>111.5</c:v>
                </c:pt>
              </c:numCache>
            </c:numRef>
          </c:xVal>
          <c:yVal>
            <c:numRef>
              <c:f>RegressAnal!$B$25:$B$27</c:f>
              <c:numCache>
                <c:formatCode>General</c:formatCode>
                <c:ptCount val="3"/>
                <c:pt idx="0">
                  <c:v>3.2067921058137827</c:v>
                </c:pt>
                <c:pt idx="1">
                  <c:v>4.9219045244051518</c:v>
                </c:pt>
                <c:pt idx="2">
                  <c:v>7.9753033697810638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2-40A9-B4EC-F607B97A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14351"/>
        <c:axId val="642838639"/>
      </c:scatterChart>
      <c:valAx>
        <c:axId val="82461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838639"/>
        <c:crosses val="autoZero"/>
        <c:crossBetween val="midCat"/>
      </c:valAx>
      <c:valAx>
        <c:axId val="64283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(sites/nm^2)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614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</xdr:colOff>
      <xdr:row>16</xdr:row>
      <xdr:rowOff>46672</xdr:rowOff>
    </xdr:from>
    <xdr:to>
      <xdr:col>12</xdr:col>
      <xdr:colOff>740092</xdr:colOff>
      <xdr:row>31</xdr:row>
      <xdr:rowOff>69532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91705-26ED-404A-BBD6-97D90A8A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3</xdr:row>
      <xdr:rowOff>7620</xdr:rowOff>
    </xdr:from>
    <xdr:to>
      <xdr:col>12</xdr:col>
      <xdr:colOff>150495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907C7-80BA-400D-8E5D-1F4C8CF8C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18097</xdr:rowOff>
    </xdr:from>
    <xdr:to>
      <xdr:col>14</xdr:col>
      <xdr:colOff>405765</xdr:colOff>
      <xdr:row>20</xdr:row>
      <xdr:rowOff>65722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9CDDB-F3CE-418A-B8EB-E763C0F2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4</xdr:row>
      <xdr:rowOff>119062</xdr:rowOff>
    </xdr:from>
    <xdr:to>
      <xdr:col>17</xdr:col>
      <xdr:colOff>504825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48BF8-54A6-4374-A269-5C8CC753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FC667-DCB6-4D1C-B007-85D99030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workbookViewId="0">
      <selection activeCell="O19" sqref="O19"/>
    </sheetView>
  </sheetViews>
  <sheetFormatPr defaultRowHeight="14.4" x14ac:dyDescent="0.3"/>
  <cols>
    <col min="2" max="2" width="13.44140625" bestFit="1" customWidth="1"/>
    <col min="5" max="5" width="12" bestFit="1" customWidth="1"/>
    <col min="11" max="11" width="10" bestFit="1" customWidth="1"/>
    <col min="12" max="12" width="10.88671875" bestFit="1" customWidth="1"/>
    <col min="13" max="13" width="11.44140625" customWidth="1"/>
  </cols>
  <sheetData>
    <row r="1" spans="1:22" x14ac:dyDescent="0.3">
      <c r="A1" t="s">
        <v>0</v>
      </c>
      <c r="B1" t="s">
        <v>103</v>
      </c>
      <c r="C1" t="s">
        <v>52</v>
      </c>
      <c r="D1" t="s">
        <v>55</v>
      </c>
      <c r="E1" t="s">
        <v>53</v>
      </c>
      <c r="F1" t="s">
        <v>55</v>
      </c>
      <c r="G1" t="s">
        <v>56</v>
      </c>
      <c r="H1" t="s">
        <v>58</v>
      </c>
      <c r="I1" t="s">
        <v>55</v>
      </c>
      <c r="J1" t="s">
        <v>60</v>
      </c>
      <c r="K1" t="s">
        <v>60</v>
      </c>
      <c r="L1" t="s">
        <v>63</v>
      </c>
      <c r="M1" t="s">
        <v>87</v>
      </c>
      <c r="N1" t="s">
        <v>55</v>
      </c>
    </row>
    <row r="2" spans="1:22" x14ac:dyDescent="0.3">
      <c r="B2" t="s">
        <v>51</v>
      </c>
      <c r="C2" t="s">
        <v>51</v>
      </c>
      <c r="D2" t="s">
        <v>51</v>
      </c>
      <c r="E2" t="s">
        <v>54</v>
      </c>
      <c r="F2" t="s">
        <v>54</v>
      </c>
      <c r="G2" t="s">
        <v>57</v>
      </c>
      <c r="H2" t="s">
        <v>59</v>
      </c>
      <c r="I2" t="s">
        <v>59</v>
      </c>
      <c r="J2" t="s">
        <v>61</v>
      </c>
      <c r="K2" t="s">
        <v>62</v>
      </c>
      <c r="L2" t="s">
        <v>64</v>
      </c>
    </row>
    <row r="3" spans="1:22" x14ac:dyDescent="0.3">
      <c r="A3" t="s">
        <v>2</v>
      </c>
    </row>
    <row r="4" spans="1:22" x14ac:dyDescent="0.3">
      <c r="A4" t="s">
        <v>3</v>
      </c>
      <c r="B4">
        <v>0.01</v>
      </c>
    </row>
    <row r="5" spans="1:22" x14ac:dyDescent="0.3">
      <c r="A5" t="s">
        <v>4</v>
      </c>
      <c r="B5">
        <v>4.9000000000000002E-2</v>
      </c>
    </row>
    <row r="6" spans="1:22" x14ac:dyDescent="0.3">
      <c r="A6" t="s">
        <v>5</v>
      </c>
      <c r="B6">
        <v>0.1</v>
      </c>
    </row>
    <row r="7" spans="1:22" x14ac:dyDescent="0.3">
      <c r="A7" t="s">
        <v>2</v>
      </c>
      <c r="S7" t="s">
        <v>66</v>
      </c>
      <c r="T7" t="s">
        <v>55</v>
      </c>
    </row>
    <row r="8" spans="1:22" x14ac:dyDescent="0.3">
      <c r="A8" t="s">
        <v>6</v>
      </c>
      <c r="B8">
        <v>1.4999999999999999E-2</v>
      </c>
      <c r="R8" t="s">
        <v>65</v>
      </c>
      <c r="S8" s="14" t="s">
        <v>64</v>
      </c>
      <c r="T8" s="14"/>
      <c r="U8" s="14" t="s">
        <v>88</v>
      </c>
      <c r="V8" s="14"/>
    </row>
    <row r="9" spans="1:22" x14ac:dyDescent="0.3">
      <c r="A9" t="s">
        <v>7</v>
      </c>
      <c r="B9">
        <v>3.2000000000000001E-2</v>
      </c>
      <c r="C9" s="1">
        <f>AVERAGE(B8:B10)</f>
        <v>2.6666666666666668E-2</v>
      </c>
      <c r="D9" s="1">
        <f>_xlfn.STDEV.P(B8:B10)</f>
        <v>8.2596744622425722E-3</v>
      </c>
      <c r="E9" s="2">
        <f>C9/(79.9*1000)</f>
        <v>3.3375052148518986E-7</v>
      </c>
      <c r="F9" s="2">
        <f>D9/(79.9*1000)</f>
        <v>1.0337514971517612E-7</v>
      </c>
      <c r="G9">
        <f>5/1000</f>
        <v>5.0000000000000001E-3</v>
      </c>
      <c r="H9" s="2">
        <f>E9*G9*6.022141E+23</f>
        <v>1004946349603671.4</v>
      </c>
      <c r="I9" s="2">
        <f>F9*G9*6.022141E+23</f>
        <v>311269863740450.25</v>
      </c>
      <c r="J9">
        <v>1.5</v>
      </c>
      <c r="K9">
        <f>J9*645200000000000</f>
        <v>967800000000000</v>
      </c>
      <c r="L9" s="3">
        <f>H9/K9</f>
        <v>1.0383822583216278</v>
      </c>
      <c r="M9" s="3">
        <v>0</v>
      </c>
      <c r="N9" s="3">
        <f>I9/K9</f>
        <v>0.32162622829143445</v>
      </c>
      <c r="Q9" s="15" t="s">
        <v>67</v>
      </c>
      <c r="R9">
        <v>10.5</v>
      </c>
      <c r="S9" s="3">
        <v>1.0383822583216278</v>
      </c>
      <c r="T9" s="3">
        <v>0.32162622829143445</v>
      </c>
      <c r="U9">
        <f>S9/13.2</f>
        <v>7.8665322600123322E-2</v>
      </c>
    </row>
    <row r="10" spans="1:22" x14ac:dyDescent="0.3">
      <c r="A10" t="s">
        <v>8</v>
      </c>
      <c r="B10">
        <v>3.3000000000000002E-2</v>
      </c>
      <c r="Q10" s="15"/>
      <c r="R10">
        <v>9.9600000000000009</v>
      </c>
      <c r="S10" s="3">
        <v>0.51919112916081378</v>
      </c>
      <c r="T10" s="3">
        <v>0.15683525706831516</v>
      </c>
      <c r="U10">
        <f t="shared" ref="U10:U14" si="0">S10/13.2</f>
        <v>3.9332661300061654E-2</v>
      </c>
    </row>
    <row r="11" spans="1:22" x14ac:dyDescent="0.3">
      <c r="A11" t="s">
        <v>9</v>
      </c>
      <c r="B11">
        <v>0.01</v>
      </c>
      <c r="Q11" s="15"/>
      <c r="R11">
        <v>8.9</v>
      </c>
      <c r="S11" s="3">
        <v>3.1281265531939026</v>
      </c>
      <c r="T11" s="3">
        <v>0.54360327776970307</v>
      </c>
      <c r="U11">
        <f t="shared" si="0"/>
        <v>0.23697928433287144</v>
      </c>
    </row>
    <row r="12" spans="1:22" x14ac:dyDescent="0.3">
      <c r="A12" t="s">
        <v>10</v>
      </c>
      <c r="B12">
        <v>1.0999999999999999E-2</v>
      </c>
      <c r="C12" s="1">
        <f>AVERAGE(B11:B13)</f>
        <v>1.3333333333333331E-2</v>
      </c>
      <c r="D12" s="1">
        <f>_xlfn.STDEV.P(B11:B13)</f>
        <v>4.0276819911982007E-3</v>
      </c>
      <c r="E12" s="2">
        <f>C12/(79.9*1000)</f>
        <v>1.6687526074259488E-7</v>
      </c>
      <c r="F12" s="2">
        <f>D12/(79.9*1000)</f>
        <v>5.0409036185209018E-8</v>
      </c>
      <c r="G12">
        <f>5/1000</f>
        <v>5.0000000000000001E-3</v>
      </c>
      <c r="H12" s="2">
        <f>E12*G12*6.022141E+23</f>
        <v>502473174801835.56</v>
      </c>
      <c r="I12" s="2">
        <f>F12*G12*6.022141E+23</f>
        <v>151785161790715.41</v>
      </c>
      <c r="J12">
        <v>1.5</v>
      </c>
      <c r="K12">
        <f>J12*645200000000000</f>
        <v>967800000000000</v>
      </c>
      <c r="L12" s="3">
        <f>H12/K12</f>
        <v>0.51919112916081378</v>
      </c>
      <c r="M12" s="3">
        <v>0</v>
      </c>
      <c r="N12" s="3">
        <f>I12/K12</f>
        <v>0.15683525706831516</v>
      </c>
      <c r="Q12" s="15"/>
      <c r="R12">
        <v>6.6</v>
      </c>
      <c r="S12" s="3">
        <v>4.7116594971343853</v>
      </c>
      <c r="T12" s="3">
        <v>0.52339255756460834</v>
      </c>
      <c r="U12">
        <f t="shared" si="0"/>
        <v>0.35694390129805953</v>
      </c>
    </row>
    <row r="13" spans="1:22" x14ac:dyDescent="0.3">
      <c r="A13" t="s">
        <v>11</v>
      </c>
      <c r="B13">
        <v>1.9E-2</v>
      </c>
      <c r="Q13" s="15"/>
      <c r="R13">
        <v>5.18</v>
      </c>
      <c r="S13" s="3">
        <v>3.8809536904770843</v>
      </c>
      <c r="T13" s="3">
        <v>0.57081517089105271</v>
      </c>
      <c r="U13">
        <f t="shared" si="0"/>
        <v>0.29401164321796097</v>
      </c>
    </row>
    <row r="14" spans="1:22" x14ac:dyDescent="0.3">
      <c r="A14" t="s">
        <v>12</v>
      </c>
      <c r="B14">
        <v>6.9000000000000006E-2</v>
      </c>
      <c r="Q14" s="15" t="s">
        <v>68</v>
      </c>
      <c r="R14">
        <v>10.5</v>
      </c>
      <c r="S14" s="3">
        <v>0.83368167423235118</v>
      </c>
      <c r="T14" s="3">
        <v>0.65338713259759729</v>
      </c>
      <c r="U14">
        <f t="shared" si="0"/>
        <v>6.3157702593359941E-2</v>
      </c>
    </row>
    <row r="15" spans="1:22" x14ac:dyDescent="0.3">
      <c r="A15" t="s">
        <v>13</v>
      </c>
      <c r="B15">
        <v>0.1</v>
      </c>
      <c r="C15" s="1">
        <f>AVERAGE(B14:B16)</f>
        <v>8.0333333333333326E-2</v>
      </c>
      <c r="D15" s="1">
        <f>_xlfn.STDEV.P(B14:B16)</f>
        <v>1.3960261060914693E-2</v>
      </c>
      <c r="E15" s="2">
        <f>C15/(79.9*1000)</f>
        <v>1.0054234459741342E-6</v>
      </c>
      <c r="F15" s="2">
        <f>D15/(79.9*1000)</f>
        <v>1.7472166534311256E-7</v>
      </c>
      <c r="G15">
        <f>5/1000</f>
        <v>5.0000000000000001E-3</v>
      </c>
      <c r="H15" s="2">
        <f>E15*G15*6.022141E+23</f>
        <v>3027400878181059</v>
      </c>
      <c r="I15" s="2">
        <f>F15*G15*6.022141E+23</f>
        <v>526099252225518.63</v>
      </c>
      <c r="J15">
        <v>1.5</v>
      </c>
      <c r="K15">
        <f>J15*645200000000000</f>
        <v>967800000000000</v>
      </c>
      <c r="L15" s="3">
        <f>H15/K15</f>
        <v>3.1281265531939026</v>
      </c>
      <c r="M15" s="3">
        <v>0</v>
      </c>
      <c r="N15" s="3">
        <f>I15/K15</f>
        <v>0.54360327776970307</v>
      </c>
      <c r="Q15" s="15"/>
      <c r="R15">
        <v>9.9600000000000009</v>
      </c>
      <c r="S15" s="3">
        <v>1.2230750211029613</v>
      </c>
      <c r="T15" s="3">
        <v>0.64872926394654606</v>
      </c>
      <c r="U15">
        <f>S15/25.45</f>
        <v>4.8057957607189047E-2</v>
      </c>
    </row>
    <row r="16" spans="1:22" x14ac:dyDescent="0.3">
      <c r="A16" t="s">
        <v>14</v>
      </c>
      <c r="B16">
        <v>7.1999999999999995E-2</v>
      </c>
      <c r="Q16" s="15"/>
      <c r="R16">
        <v>8.9</v>
      </c>
      <c r="S16" s="3">
        <v>3.3128193159752364</v>
      </c>
      <c r="T16" s="3">
        <v>1.08208075852874</v>
      </c>
      <c r="U16">
        <f t="shared" ref="U16:U18" si="1">S16/25.45</f>
        <v>0.13016971772004859</v>
      </c>
    </row>
    <row r="17" spans="1:21" x14ac:dyDescent="0.3">
      <c r="A17" t="s">
        <v>15</v>
      </c>
      <c r="B17">
        <v>0.10199999999999999</v>
      </c>
      <c r="Q17" s="15"/>
      <c r="R17">
        <v>6.6</v>
      </c>
      <c r="S17" s="3">
        <v>4.0137273403423359</v>
      </c>
      <c r="T17" s="3">
        <v>1.0517625706946894</v>
      </c>
      <c r="U17">
        <f t="shared" si="1"/>
        <v>0.15771030806846115</v>
      </c>
    </row>
    <row r="18" spans="1:21" x14ac:dyDescent="0.3">
      <c r="A18" t="s">
        <v>16</v>
      </c>
      <c r="B18">
        <v>0.13</v>
      </c>
      <c r="C18" s="1">
        <f>AVERAGE(B17:B19)</f>
        <v>0.121</v>
      </c>
      <c r="D18" s="1">
        <f>_xlfn.STDEV.P(B17:B19)</f>
        <v>1.344123010243737E-2</v>
      </c>
      <c r="E18" s="2">
        <f>C18/(79.9*1000)</f>
        <v>1.5143929912390487E-6</v>
      </c>
      <c r="F18" s="2">
        <f>D18/(79.9*1000)</f>
        <v>1.6822565835340887E-7</v>
      </c>
      <c r="G18">
        <f>5/1000</f>
        <v>5.0000000000000001E-3</v>
      </c>
      <c r="H18" s="2">
        <f>E18*G18*6.022141E+23</f>
        <v>4559944061326658</v>
      </c>
      <c r="I18" s="2">
        <f>F18*G18*6.022141E+23</f>
        <v>506539317211028</v>
      </c>
      <c r="J18">
        <v>1.5</v>
      </c>
      <c r="K18">
        <f>J18*645200000000000</f>
        <v>967800000000000</v>
      </c>
      <c r="L18" s="3">
        <f>H18/K18</f>
        <v>4.7116594971343853</v>
      </c>
      <c r="M18" s="3">
        <v>0</v>
      </c>
      <c r="N18" s="3">
        <f>I18/K18</f>
        <v>0.52339255756460834</v>
      </c>
      <c r="Q18" s="15"/>
      <c r="R18">
        <v>5.18</v>
      </c>
      <c r="S18" s="3">
        <v>3.1311024207689524</v>
      </c>
      <c r="T18" s="3">
        <v>0.94011593780761316</v>
      </c>
      <c r="U18">
        <f t="shared" si="1"/>
        <v>0.12302956466675648</v>
      </c>
    </row>
    <row r="19" spans="1:21" x14ac:dyDescent="0.3">
      <c r="A19" t="s">
        <v>17</v>
      </c>
      <c r="B19">
        <v>0.13100000000000001</v>
      </c>
      <c r="Q19" s="15" t="s">
        <v>69</v>
      </c>
      <c r="R19">
        <v>10.5</v>
      </c>
      <c r="S19" s="3">
        <v>0.66494455725508628</v>
      </c>
      <c r="T19" s="3">
        <v>0.28673267292511451</v>
      </c>
      <c r="U19">
        <f>S19/111.5</f>
        <v>5.9636283161891143E-3</v>
      </c>
    </row>
    <row r="20" spans="1:21" x14ac:dyDescent="0.3">
      <c r="A20" t="s">
        <v>18</v>
      </c>
      <c r="B20">
        <v>0.12</v>
      </c>
      <c r="Q20" s="15"/>
      <c r="R20">
        <v>9.9600000000000009</v>
      </c>
      <c r="S20" s="3">
        <v>0.70388389194214707</v>
      </c>
      <c r="T20" s="3">
        <v>0.19164412891255503</v>
      </c>
      <c r="U20">
        <f t="shared" ref="U20:U23" si="2">S20/111.5</f>
        <v>6.3128600174183593E-3</v>
      </c>
    </row>
    <row r="21" spans="1:21" x14ac:dyDescent="0.3">
      <c r="A21" t="s">
        <v>19</v>
      </c>
      <c r="B21">
        <v>9.2999999999999999E-2</v>
      </c>
      <c r="C21" s="1">
        <f>AVERAGE(B20:B22)</f>
        <v>9.9666666666666667E-2</v>
      </c>
      <c r="D21" s="1">
        <f>_xlfn.STDEV.P(B20:B22)</f>
        <v>1.46590889515307E-2</v>
      </c>
      <c r="E21" s="2">
        <f>C21/(79.9*1000)</f>
        <v>1.247392574050897E-6</v>
      </c>
      <c r="F21" s="2">
        <f>D21/(79.9*1000)</f>
        <v>1.8346794682766835E-7</v>
      </c>
      <c r="G21">
        <f>5/1000</f>
        <v>5.0000000000000001E-3</v>
      </c>
      <c r="H21" s="2">
        <f>E21*G21*6.022141E+23</f>
        <v>3755986981643722</v>
      </c>
      <c r="I21" s="2">
        <f>F21*G21*6.022141E+23</f>
        <v>552434922388360.81</v>
      </c>
      <c r="J21">
        <v>1.5</v>
      </c>
      <c r="K21">
        <f>J21*645200000000000</f>
        <v>967800000000000</v>
      </c>
      <c r="L21" s="3">
        <f>H21/K21</f>
        <v>3.8809536904770843</v>
      </c>
      <c r="M21" s="3">
        <v>0</v>
      </c>
      <c r="N21" s="3">
        <f>I21/K21</f>
        <v>0.57081517089105271</v>
      </c>
      <c r="Q21" s="15"/>
      <c r="R21">
        <v>8.9</v>
      </c>
      <c r="S21" s="3">
        <v>6.5318043167722823</v>
      </c>
      <c r="T21" s="3">
        <v>1.8016194019884115</v>
      </c>
      <c r="U21">
        <f t="shared" si="2"/>
        <v>5.8581204634728989E-2</v>
      </c>
    </row>
    <row r="22" spans="1:21" x14ac:dyDescent="0.3">
      <c r="A22" t="s">
        <v>20</v>
      </c>
      <c r="B22">
        <v>8.5999999999999993E-2</v>
      </c>
      <c r="Q22" s="15"/>
      <c r="R22">
        <v>6.6</v>
      </c>
      <c r="S22" s="3">
        <v>7.8427619179033368</v>
      </c>
      <c r="T22" s="3">
        <v>0.95610847304963831</v>
      </c>
      <c r="U22">
        <f t="shared" si="2"/>
        <v>7.0338671909446968E-2</v>
      </c>
    </row>
    <row r="23" spans="1:21" x14ac:dyDescent="0.3">
      <c r="A23" t="s">
        <v>2</v>
      </c>
      <c r="Q23" s="15"/>
      <c r="R23">
        <v>5.18</v>
      </c>
      <c r="S23" s="3">
        <v>8.141296817170808</v>
      </c>
      <c r="T23" s="3">
        <v>1.0651329706272468</v>
      </c>
      <c r="U23">
        <f t="shared" si="2"/>
        <v>7.3016114952204558E-2</v>
      </c>
    </row>
    <row r="24" spans="1:21" x14ac:dyDescent="0.3">
      <c r="A24" t="s">
        <v>21</v>
      </c>
      <c r="B24">
        <v>9.8000000000000004E-2</v>
      </c>
      <c r="Q24" s="15" t="s">
        <v>90</v>
      </c>
      <c r="R24">
        <v>10.48</v>
      </c>
      <c r="S24" s="3">
        <f>M63</f>
        <v>0.93751990006451447</v>
      </c>
      <c r="T24" s="3">
        <f>N63</f>
        <v>0.18629486421304661</v>
      </c>
      <c r="U24">
        <f>S24/111.5</f>
        <v>8.408250224793851E-3</v>
      </c>
    </row>
    <row r="25" spans="1:21" x14ac:dyDescent="0.3">
      <c r="A25" t="s">
        <v>22</v>
      </c>
      <c r="B25">
        <v>0.10100000000000001</v>
      </c>
      <c r="C25" s="1">
        <f>AVERAGE(B24:B26)</f>
        <v>8.7666666666666671E-2</v>
      </c>
      <c r="D25" s="1">
        <f>_xlfn.STDEV.P(B24:B26)</f>
        <v>1.6779617264870941E-2</v>
      </c>
      <c r="E25" s="2">
        <f>C25/(79.9*1000)</f>
        <v>1.0972048393825615E-6</v>
      </c>
      <c r="F25" s="2">
        <f>D25/(79.9*1000)</f>
        <v>2.1000772546772142E-7</v>
      </c>
      <c r="G25">
        <f>5/1000</f>
        <v>5.0000000000000001E-3</v>
      </c>
      <c r="H25" s="2">
        <f>E25*G25*6.022141E+23</f>
        <v>3303761124322069.5</v>
      </c>
      <c r="I25" s="2">
        <f>F25*G25*6.022141E+23</f>
        <v>632348066927954.63</v>
      </c>
      <c r="J25">
        <v>1.5</v>
      </c>
      <c r="K25">
        <f>J25*645200000000000</f>
        <v>967800000000000</v>
      </c>
      <c r="L25" s="3">
        <f>H25/K25</f>
        <v>3.4136816742323512</v>
      </c>
      <c r="M25" s="3">
        <f>L25-2.58</f>
        <v>0.83368167423235118</v>
      </c>
      <c r="N25" s="3">
        <f>I25/K25</f>
        <v>0.65338713259759729</v>
      </c>
      <c r="Q25" s="15"/>
      <c r="R25">
        <v>10.050000000000001</v>
      </c>
      <c r="S25" s="3">
        <f>M66</f>
        <v>0.72984344840018833</v>
      </c>
      <c r="T25" s="3">
        <f>N66</f>
        <v>0.22027414089690725</v>
      </c>
      <c r="U25">
        <f t="shared" ref="U25:U28" si="3">S25/111.5</f>
        <v>6.5456811515711959E-3</v>
      </c>
    </row>
    <row r="26" spans="1:21" x14ac:dyDescent="0.3">
      <c r="A26" t="s">
        <v>23</v>
      </c>
      <c r="B26">
        <v>6.4000000000000001E-2</v>
      </c>
      <c r="Q26" s="15"/>
      <c r="R26">
        <v>9.07</v>
      </c>
      <c r="S26" s="3">
        <f>M69</f>
        <v>3.4896038954544943</v>
      </c>
      <c r="T26" s="3">
        <f>N69</f>
        <v>0.3024227605901218</v>
      </c>
      <c r="U26">
        <f t="shared" si="3"/>
        <v>3.1296895923358693E-2</v>
      </c>
    </row>
    <row r="27" spans="1:21" x14ac:dyDescent="0.3">
      <c r="A27" t="s">
        <v>24</v>
      </c>
      <c r="B27">
        <v>9.2999999999999999E-2</v>
      </c>
      <c r="Q27" s="15"/>
      <c r="R27">
        <v>7.23</v>
      </c>
      <c r="S27" s="3">
        <f>M72</f>
        <v>4.510203857602364</v>
      </c>
      <c r="T27" s="3">
        <f>N72</f>
        <v>0.16872084154733577</v>
      </c>
      <c r="U27">
        <f t="shared" si="3"/>
        <v>4.0450258812577258E-2</v>
      </c>
    </row>
    <row r="28" spans="1:21" x14ac:dyDescent="0.3">
      <c r="A28" t="s">
        <v>25</v>
      </c>
      <c r="B28">
        <v>0.08</v>
      </c>
      <c r="C28" s="1">
        <f>AVERAGE(B27:B29)</f>
        <v>9.7666666666666666E-2</v>
      </c>
      <c r="D28" s="1">
        <f>_xlfn.STDEV.P(B27:B29)</f>
        <v>1.6659998666133068E-2</v>
      </c>
      <c r="E28" s="2">
        <f>C28/(79.9*1000)</f>
        <v>1.2223612849395077E-6</v>
      </c>
      <c r="F28" s="2">
        <f>D28/(79.9*1000)</f>
        <v>2.0851062160366792E-7</v>
      </c>
      <c r="G28">
        <f>5/1000</f>
        <v>5.0000000000000001E-3</v>
      </c>
      <c r="H28" s="2">
        <f>E28*G28*6.022141E+23</f>
        <v>3680616005423446</v>
      </c>
      <c r="I28" s="2">
        <f>F28*G28*6.022141E+23</f>
        <v>627840181647467.25</v>
      </c>
      <c r="J28">
        <v>1.5</v>
      </c>
      <c r="K28">
        <f>J28*645200000000000</f>
        <v>967800000000000</v>
      </c>
      <c r="L28" s="3">
        <f>H28/K28</f>
        <v>3.8030750211029614</v>
      </c>
      <c r="M28" s="3">
        <f>L28-2.58</f>
        <v>1.2230750211029613</v>
      </c>
      <c r="N28" s="3">
        <f>I28/K28</f>
        <v>0.64872926394654606</v>
      </c>
      <c r="Q28" s="15"/>
      <c r="R28">
        <v>5.04</v>
      </c>
      <c r="S28" s="3">
        <f>M75</f>
        <v>4.4173984432648679</v>
      </c>
      <c r="T28" s="3">
        <f>N75</f>
        <v>0.20983376208708851</v>
      </c>
      <c r="U28">
        <f t="shared" si="3"/>
        <v>3.9617923257980879E-2</v>
      </c>
    </row>
    <row r="29" spans="1:21" x14ac:dyDescent="0.3">
      <c r="A29" t="s">
        <v>26</v>
      </c>
      <c r="B29">
        <v>0.12</v>
      </c>
    </row>
    <row r="30" spans="1:21" x14ac:dyDescent="0.3">
      <c r="A30" t="s">
        <v>27</v>
      </c>
      <c r="B30">
        <v>0.113</v>
      </c>
    </row>
    <row r="31" spans="1:21" x14ac:dyDescent="0.3">
      <c r="A31" t="s">
        <v>28</v>
      </c>
      <c r="B31">
        <v>0.17799999999999999</v>
      </c>
      <c r="C31" s="1">
        <f>AVERAGE(B30:B32)</f>
        <v>0.15133333333333332</v>
      </c>
      <c r="D31" s="1">
        <f>_xlfn.STDEV.P(B30:B32)</f>
        <v>2.778888666755519E-2</v>
      </c>
      <c r="E31" s="2">
        <f>C31/(79.9*1000)</f>
        <v>1.894034209428452E-6</v>
      </c>
      <c r="F31" s="2">
        <f>D31/(79.9*1000)</f>
        <v>3.477958281296019E-7</v>
      </c>
      <c r="G31">
        <f>5/1000</f>
        <v>5.0000000000000001E-3</v>
      </c>
      <c r="H31" s="2">
        <f>E31*G31*6.022141E+23</f>
        <v>5703070534000834</v>
      </c>
      <c r="I31" s="2">
        <f>F31*G31*6.022141E+23</f>
        <v>1047237758104114.5</v>
      </c>
      <c r="J31">
        <v>1.5</v>
      </c>
      <c r="K31">
        <f>J31*645200000000000</f>
        <v>967800000000000</v>
      </c>
      <c r="L31" s="3">
        <f>H31/K31</f>
        <v>5.8928193159752364</v>
      </c>
      <c r="M31" s="3">
        <f>L31-2.58</f>
        <v>3.3128193159752364</v>
      </c>
      <c r="N31" s="3">
        <f>I31/K31</f>
        <v>1.08208075852874</v>
      </c>
    </row>
    <row r="32" spans="1:21" x14ac:dyDescent="0.3">
      <c r="A32" t="s">
        <v>29</v>
      </c>
      <c r="B32">
        <v>0.16300000000000001</v>
      </c>
    </row>
    <row r="33" spans="1:16" x14ac:dyDescent="0.3">
      <c r="A33" t="s">
        <v>30</v>
      </c>
      <c r="B33">
        <v>0.20100000000000001</v>
      </c>
    </row>
    <row r="34" spans="1:16" x14ac:dyDescent="0.3">
      <c r="A34" t="s">
        <v>31</v>
      </c>
      <c r="B34">
        <v>0.17199999999999999</v>
      </c>
      <c r="C34" s="1">
        <f>AVERAGE(B33:B35)</f>
        <v>0.16933333333333334</v>
      </c>
      <c r="D34" s="1">
        <f>_xlfn.STDEV.P(B33:B35)</f>
        <v>2.7010286106510559E-2</v>
      </c>
      <c r="E34" s="2">
        <f>C34/(79.9*1000)</f>
        <v>2.1193158114309556E-6</v>
      </c>
      <c r="F34" s="2">
        <f>D34/(79.9*1000)</f>
        <v>3.3805114025670286E-7</v>
      </c>
      <c r="G34">
        <f>5/1000</f>
        <v>5.0000000000000001E-3</v>
      </c>
      <c r="H34" s="2">
        <f>E34*G34*6.022141E+23</f>
        <v>6381409319983313</v>
      </c>
      <c r="I34" s="2">
        <f>F34*G34*6.022141E+23</f>
        <v>1017895815918320.4</v>
      </c>
      <c r="J34">
        <v>1.5</v>
      </c>
      <c r="K34">
        <f>J34*645200000000000</f>
        <v>967800000000000</v>
      </c>
      <c r="L34" s="3">
        <f>H34/K34</f>
        <v>6.593727340342336</v>
      </c>
      <c r="M34" s="3">
        <f>L34-2.58</f>
        <v>4.0137273403423359</v>
      </c>
      <c r="N34" s="3">
        <f>I34/K34</f>
        <v>1.0517625706946894</v>
      </c>
    </row>
    <row r="35" spans="1:16" x14ac:dyDescent="0.3">
      <c r="A35" t="s">
        <v>32</v>
      </c>
      <c r="B35">
        <v>0.13500000000000001</v>
      </c>
    </row>
    <row r="36" spans="1:16" x14ac:dyDescent="0.3">
      <c r="A36" t="s">
        <v>33</v>
      </c>
      <c r="B36">
        <v>0.11600000000000001</v>
      </c>
    </row>
    <row r="37" spans="1:16" x14ac:dyDescent="0.3">
      <c r="A37" t="s">
        <v>34</v>
      </c>
      <c r="B37">
        <v>0.14899999999999999</v>
      </c>
      <c r="C37" s="1">
        <f>AVERAGE(B36:B38)</f>
        <v>0.14666666666666667</v>
      </c>
      <c r="D37" s="1">
        <f>_xlfn.STDEV.P(B36:B38)</f>
        <v>2.4143091949642363E-2</v>
      </c>
      <c r="E37" s="2">
        <f>C37/(79.9*1000)</f>
        <v>1.835627868168544E-6</v>
      </c>
      <c r="F37" s="2">
        <f>D37/(79.9*1000)</f>
        <v>3.0216635731717602E-7</v>
      </c>
      <c r="G37">
        <f>5/1000</f>
        <v>5.0000000000000001E-3</v>
      </c>
      <c r="H37" s="2">
        <f>E37*G37*6.022141E+23</f>
        <v>5527204922820192</v>
      </c>
      <c r="I37" s="2">
        <f>F37*G37*6.022141E+23</f>
        <v>909844204610208</v>
      </c>
      <c r="J37">
        <v>1.5</v>
      </c>
      <c r="K37">
        <f>J37*645200000000000</f>
        <v>967800000000000</v>
      </c>
      <c r="L37" s="3">
        <f>H37/K37</f>
        <v>5.7111024207689525</v>
      </c>
      <c r="M37" s="3">
        <f>L37-2.58</f>
        <v>3.1311024207689524</v>
      </c>
      <c r="N37" s="3">
        <f>I37/K37</f>
        <v>0.94011593780761316</v>
      </c>
    </row>
    <row r="38" spans="1:16" x14ac:dyDescent="0.3">
      <c r="A38" t="s">
        <v>35</v>
      </c>
      <c r="B38">
        <v>0.17499999999999999</v>
      </c>
    </row>
    <row r="39" spans="1:16" x14ac:dyDescent="0.3">
      <c r="A39" t="s">
        <v>2</v>
      </c>
    </row>
    <row r="40" spans="1:16" x14ac:dyDescent="0.3">
      <c r="A40" t="s">
        <v>36</v>
      </c>
      <c r="B40">
        <v>9.1999999999999998E-2</v>
      </c>
    </row>
    <row r="41" spans="1:16" x14ac:dyDescent="0.3">
      <c r="A41" t="s">
        <v>37</v>
      </c>
      <c r="B41">
        <v>7.3999999999999996E-2</v>
      </c>
      <c r="C41" s="1">
        <f>AVERAGE(B40:B42)</f>
        <v>8.3333333333333329E-2</v>
      </c>
      <c r="D41" s="1">
        <f>_xlfn.STDEV.P(B40:B42)</f>
        <v>7.363574011458175E-3</v>
      </c>
      <c r="E41" s="2">
        <f>C41/(79.9*1000)</f>
        <v>1.0429703796412182E-6</v>
      </c>
      <c r="F41" s="2">
        <f>D41/(79.9*1000)</f>
        <v>9.215987498696089E-8</v>
      </c>
      <c r="G41">
        <f>5/1000</f>
        <v>5.0000000000000001E-3</v>
      </c>
      <c r="H41" s="2">
        <f>E41*G41*6.022141E+23</f>
        <v>3140457342511472.5</v>
      </c>
      <c r="I41" s="2">
        <f>F41*G41*6.022141E+23</f>
        <v>277499880856925.84</v>
      </c>
      <c r="J41">
        <v>1.5</v>
      </c>
      <c r="K41">
        <f>J41*645200000000000</f>
        <v>967800000000000</v>
      </c>
      <c r="L41" s="3">
        <f>H41/K41</f>
        <v>3.2449445572550863</v>
      </c>
      <c r="M41" s="3">
        <f>L41-2.58</f>
        <v>0.66494455725508628</v>
      </c>
      <c r="N41" s="3">
        <f>I41/K41</f>
        <v>0.28673267292511451</v>
      </c>
    </row>
    <row r="42" spans="1:16" x14ac:dyDescent="0.3">
      <c r="A42" t="s">
        <v>38</v>
      </c>
      <c r="B42">
        <v>8.4000000000000005E-2</v>
      </c>
    </row>
    <row r="43" spans="1:16" x14ac:dyDescent="0.3">
      <c r="A43" t="s">
        <v>39</v>
      </c>
      <c r="B43">
        <v>0.09</v>
      </c>
    </row>
    <row r="44" spans="1:16" x14ac:dyDescent="0.3">
      <c r="A44" t="s">
        <v>40</v>
      </c>
      <c r="B44">
        <v>8.5000000000000006E-2</v>
      </c>
      <c r="C44" s="1">
        <f>AVERAGE(B43:B45)</f>
        <v>8.433333333333333E-2</v>
      </c>
      <c r="D44" s="1">
        <f>_xlfn.STDEV.P(B43:B45)</f>
        <v>4.9216076867444657E-3</v>
      </c>
      <c r="E44" s="2">
        <f>C44/(79.9*1000)</f>
        <v>1.0554860241969127E-6</v>
      </c>
      <c r="F44" s="2">
        <f>D44/(79.9*1000)</f>
        <v>6.1597092449868153E-8</v>
      </c>
      <c r="G44">
        <f>5/1000</f>
        <v>5.0000000000000001E-3</v>
      </c>
      <c r="H44" s="2">
        <f>E44*G44*6.022141E+23</f>
        <v>3178142830621610</v>
      </c>
      <c r="I44" s="2">
        <f>F44*G44*6.022141E+23</f>
        <v>185473187961570.75</v>
      </c>
      <c r="J44">
        <v>1.5</v>
      </c>
      <c r="K44">
        <f>J44*645200000000000</f>
        <v>967800000000000</v>
      </c>
      <c r="L44" s="3">
        <f>H44/K44</f>
        <v>3.2838838919421471</v>
      </c>
      <c r="M44" s="3">
        <f>L44-2.58</f>
        <v>0.70388389194214707</v>
      </c>
      <c r="N44" s="3">
        <f>I44/K44</f>
        <v>0.19164412891255503</v>
      </c>
    </row>
    <row r="45" spans="1:16" x14ac:dyDescent="0.3">
      <c r="A45" t="s">
        <v>41</v>
      </c>
      <c r="B45">
        <v>7.8E-2</v>
      </c>
    </row>
    <row r="46" spans="1:16" x14ac:dyDescent="0.3">
      <c r="A46" t="s">
        <v>42</v>
      </c>
      <c r="B46">
        <v>0.17299999999999999</v>
      </c>
    </row>
    <row r="47" spans="1:16" x14ac:dyDescent="0.3">
      <c r="A47" t="s">
        <v>43</v>
      </c>
      <c r="B47">
        <v>0.28499999999999998</v>
      </c>
      <c r="C47" s="1">
        <f>AVERAGE(B46:B48)</f>
        <v>0.23399999999999999</v>
      </c>
      <c r="D47" s="1">
        <f>_xlfn.STDEV.P(B46:B48)</f>
        <v>4.6267339092135623E-2</v>
      </c>
      <c r="E47" s="2">
        <f>C47/(79.9*1000)</f>
        <v>2.9286608260325405E-6</v>
      </c>
      <c r="F47" s="2">
        <f>D47/(79.9*1000)</f>
        <v>5.7906557061496395E-7</v>
      </c>
      <c r="G47">
        <f>5/1000</f>
        <v>5.0000000000000001E-3</v>
      </c>
      <c r="H47" s="2">
        <f>E47*G47*6.022141E+23</f>
        <v>8818404217772215</v>
      </c>
      <c r="I47" s="2">
        <f>F47*G47*6.022141E+23</f>
        <v>1743607257244384.8</v>
      </c>
      <c r="J47">
        <v>1.5</v>
      </c>
      <c r="K47">
        <f>J47*645200000000000</f>
        <v>967800000000000</v>
      </c>
      <c r="L47" s="3">
        <f>H47/K47</f>
        <v>9.1118043167722824</v>
      </c>
      <c r="M47" s="3">
        <f>L47-2.58</f>
        <v>6.5318043167722823</v>
      </c>
      <c r="N47" s="3">
        <f>I47/K47</f>
        <v>1.8016194019884115</v>
      </c>
    </row>
    <row r="48" spans="1:16" x14ac:dyDescent="0.3">
      <c r="A48" t="s">
        <v>44</v>
      </c>
      <c r="B48">
        <v>0.24399999999999999</v>
      </c>
      <c r="P48" s="3"/>
    </row>
    <row r="49" spans="1:16" x14ac:dyDescent="0.3">
      <c r="A49" t="s">
        <v>45</v>
      </c>
      <c r="B49">
        <v>0.255</v>
      </c>
      <c r="P49" s="3"/>
    </row>
    <row r="50" spans="1:16" x14ac:dyDescent="0.3">
      <c r="A50" t="s">
        <v>46</v>
      </c>
      <c r="B50">
        <v>0.30199999999999999</v>
      </c>
      <c r="C50" s="1">
        <f>AVERAGE(B49:B51)</f>
        <v>0.26766666666666666</v>
      </c>
      <c r="D50" s="1">
        <f>_xlfn.STDEV.P(B49:B51)</f>
        <v>2.4553795814270522E-2</v>
      </c>
      <c r="E50" s="2">
        <f>C50/(79.9*1000)</f>
        <v>3.3500208594075928E-6</v>
      </c>
      <c r="F50" s="2">
        <f>D50/(79.9*1000)</f>
        <v>3.0730658090451218E-7</v>
      </c>
      <c r="G50">
        <f>5/1000</f>
        <v>5.0000000000000001E-3</v>
      </c>
      <c r="H50" s="2">
        <f>E50*G50*6.022141E+23</f>
        <v>1.008714898414685E+16</v>
      </c>
      <c r="I50" s="2">
        <f>F50*G50*6.022141E+23</f>
        <v>925321780217440</v>
      </c>
      <c r="J50">
        <v>1.5</v>
      </c>
      <c r="K50">
        <f>J50*645200000000000</f>
        <v>967800000000000</v>
      </c>
      <c r="L50" s="3">
        <f>H50/K50</f>
        <v>10.422761917903337</v>
      </c>
      <c r="M50" s="3">
        <f>L50-2.58</f>
        <v>7.8427619179033368</v>
      </c>
      <c r="N50" s="3">
        <f>I50/K50</f>
        <v>0.95610847304963831</v>
      </c>
      <c r="P50" s="3"/>
    </row>
    <row r="51" spans="1:16" x14ac:dyDescent="0.3">
      <c r="A51" t="s">
        <v>47</v>
      </c>
      <c r="B51">
        <v>0.246</v>
      </c>
    </row>
    <row r="52" spans="1:16" x14ac:dyDescent="0.3">
      <c r="A52" t="s">
        <v>48</v>
      </c>
      <c r="B52">
        <v>0.27500000000000002</v>
      </c>
    </row>
    <row r="53" spans="1:16" x14ac:dyDescent="0.3">
      <c r="A53" t="s">
        <v>49</v>
      </c>
      <c r="B53">
        <v>0.309</v>
      </c>
      <c r="C53" s="1">
        <f>AVERAGE(B52:B54)</f>
        <v>0.27533333333333337</v>
      </c>
      <c r="D53" s="1">
        <f>_xlfn.STDEV.P(B52:B54)</f>
        <v>2.735365098523819E-2</v>
      </c>
      <c r="E53" s="2">
        <f>C53/(79.9*1000)</f>
        <v>3.4459741343345853E-6</v>
      </c>
      <c r="F53" s="2">
        <f>D53/(79.9*1000)</f>
        <v>3.4234857303176707E-7</v>
      </c>
      <c r="G53">
        <f>5/1000</f>
        <v>5.0000000000000001E-3</v>
      </c>
      <c r="H53" s="2">
        <f>E53*G53*6.022141E+23</f>
        <v>1.0376071059657908E+16</v>
      </c>
      <c r="I53" s="2">
        <f>F53*G53*6.022141E+23</f>
        <v>1030835688973049.4</v>
      </c>
      <c r="J53">
        <v>1.5</v>
      </c>
      <c r="K53">
        <f>J53*645200000000000</f>
        <v>967800000000000</v>
      </c>
      <c r="L53" s="3">
        <f>H53/K53</f>
        <v>10.721296817170808</v>
      </c>
      <c r="M53" s="3">
        <f>L53-2.58</f>
        <v>8.141296817170808</v>
      </c>
      <c r="N53" s="3">
        <f>I53/K53</f>
        <v>1.0651329706272468</v>
      </c>
    </row>
    <row r="54" spans="1:16" x14ac:dyDescent="0.3">
      <c r="A54" t="s">
        <v>50</v>
      </c>
      <c r="B54">
        <v>0.24199999999999999</v>
      </c>
    </row>
    <row r="55" spans="1:16" x14ac:dyDescent="0.3">
      <c r="A55" t="s">
        <v>2</v>
      </c>
    </row>
    <row r="57" spans="1:16" x14ac:dyDescent="0.3">
      <c r="A57" t="s">
        <v>2</v>
      </c>
    </row>
    <row r="58" spans="1:16" x14ac:dyDescent="0.3">
      <c r="A58" t="s">
        <v>3</v>
      </c>
      <c r="B58">
        <v>0.01</v>
      </c>
      <c r="I58" s="3"/>
    </row>
    <row r="59" spans="1:16" x14ac:dyDescent="0.3">
      <c r="A59" t="s">
        <v>4</v>
      </c>
      <c r="B59">
        <v>0.05</v>
      </c>
      <c r="I59" s="3"/>
    </row>
    <row r="60" spans="1:16" x14ac:dyDescent="0.3">
      <c r="A60" t="s">
        <v>5</v>
      </c>
      <c r="B60">
        <v>0.10100000000000001</v>
      </c>
      <c r="I60" s="3"/>
    </row>
    <row r="61" spans="1:16" x14ac:dyDescent="0.3">
      <c r="A61" t="s">
        <v>2</v>
      </c>
    </row>
    <row r="62" spans="1:16" x14ac:dyDescent="0.3">
      <c r="A62" t="s">
        <v>104</v>
      </c>
      <c r="B62">
        <v>9.7000000000000003E-2</v>
      </c>
    </row>
    <row r="63" spans="1:16" x14ac:dyDescent="0.3">
      <c r="A63" t="s">
        <v>105</v>
      </c>
      <c r="B63">
        <v>8.7999999999999995E-2</v>
      </c>
      <c r="C63" s="1">
        <f>AVERAGE(B62:B64)</f>
        <v>9.0333333333333335E-2</v>
      </c>
      <c r="D63" s="1">
        <f>_xlfn.STDEV.P(B62:B64)</f>
        <v>4.7842333648024458E-3</v>
      </c>
      <c r="E63" s="2">
        <f>C63/(79.9*1000)</f>
        <v>1.1305798915310806E-6</v>
      </c>
      <c r="F63" s="2">
        <f>D63/(79.9*1000)</f>
        <v>5.9877764265362273E-8</v>
      </c>
      <c r="G63">
        <f>5/1000</f>
        <v>5.0000000000000001E-3</v>
      </c>
      <c r="H63" s="2">
        <f>E63*G63*6.022141E+23</f>
        <v>3404255759282437</v>
      </c>
      <c r="I63" s="2">
        <f>F63*G63*6.022141E+23</f>
        <v>180296169585386.5</v>
      </c>
      <c r="J63">
        <v>1.5</v>
      </c>
      <c r="K63">
        <f>J63*645200000000000</f>
        <v>967800000000000</v>
      </c>
      <c r="L63" s="3">
        <f>H63/K63</f>
        <v>3.5175199000645145</v>
      </c>
      <c r="M63" s="3">
        <f>L63-2.58</f>
        <v>0.93751990006451447</v>
      </c>
      <c r="N63" s="3">
        <f>I63/K63</f>
        <v>0.18629486421304661</v>
      </c>
    </row>
    <row r="64" spans="1:16" x14ac:dyDescent="0.3">
      <c r="A64" t="s">
        <v>106</v>
      </c>
      <c r="B64">
        <v>8.5999999999999993E-2</v>
      </c>
    </row>
    <row r="65" spans="1:14" x14ac:dyDescent="0.3">
      <c r="A65" t="s">
        <v>107</v>
      </c>
      <c r="B65">
        <v>8.8999999999999996E-2</v>
      </c>
    </row>
    <row r="66" spans="1:14" x14ac:dyDescent="0.3">
      <c r="A66" t="s">
        <v>108</v>
      </c>
      <c r="B66">
        <v>8.8999999999999996E-2</v>
      </c>
      <c r="C66" s="1">
        <f>AVERAGE(B65:B67)</f>
        <v>8.5000000000000006E-2</v>
      </c>
      <c r="D66" s="1">
        <f>_xlfn.STDEV.P(B65:B67)</f>
        <v>5.6568542494923792E-3</v>
      </c>
      <c r="E66" s="2">
        <f>C66/(79.9*1000)</f>
        <v>1.0638297872340427E-6</v>
      </c>
      <c r="F66" s="2">
        <f>D66/(79.9*1000)</f>
        <v>7.0799177090017266E-8</v>
      </c>
      <c r="G66">
        <f>5/1000</f>
        <v>5.0000000000000001E-3</v>
      </c>
      <c r="H66" s="2">
        <f>E66*G66*6.022141E+23</f>
        <v>3203266489361702.5</v>
      </c>
      <c r="I66" s="2">
        <f>F66*G66*6.022141E+23</f>
        <v>213181313560026.84</v>
      </c>
      <c r="J66">
        <v>1.5</v>
      </c>
      <c r="K66">
        <f>J66*645200000000000</f>
        <v>967800000000000</v>
      </c>
      <c r="L66" s="3">
        <f>H66/K66</f>
        <v>3.3098434484001884</v>
      </c>
      <c r="M66" s="3">
        <f>L66-2.58</f>
        <v>0.72984344840018833</v>
      </c>
      <c r="N66" s="3">
        <f>I66/K66</f>
        <v>0.22027414089690725</v>
      </c>
    </row>
    <row r="67" spans="1:14" x14ac:dyDescent="0.3">
      <c r="A67" t="s">
        <v>109</v>
      </c>
      <c r="B67">
        <v>7.6999999999999999E-2</v>
      </c>
    </row>
    <row r="68" spans="1:14" x14ac:dyDescent="0.3">
      <c r="A68" t="s">
        <v>110</v>
      </c>
      <c r="B68">
        <v>0.14510999999999999</v>
      </c>
    </row>
    <row r="69" spans="1:14" x14ac:dyDescent="0.3">
      <c r="A69" t="s">
        <v>111</v>
      </c>
      <c r="B69">
        <v>0.15936</v>
      </c>
      <c r="C69" s="1">
        <f>AVERAGE(B68:B70)</f>
        <v>0.15587333333333334</v>
      </c>
      <c r="D69" s="1">
        <f>_xlfn.STDEV.P(B68:B70)</f>
        <v>7.7665107280482735E-3</v>
      </c>
      <c r="E69" s="2">
        <f>C69/(79.9*1000)</f>
        <v>1.9508552357113058E-6</v>
      </c>
      <c r="F69" s="2">
        <f>D69/(79.9*1000)</f>
        <v>9.7202887710241217E-8</v>
      </c>
      <c r="G69">
        <f>5/1000</f>
        <v>5.0000000000000001E-3</v>
      </c>
      <c r="H69" s="2">
        <f>E69*G69*6.022141E+23</f>
        <v>5874162650020860</v>
      </c>
      <c r="I69" s="2">
        <f>F69*G69*6.022141E+23</f>
        <v>292684747699119.88</v>
      </c>
      <c r="J69">
        <v>1.5</v>
      </c>
      <c r="K69">
        <f>J69*645200000000000</f>
        <v>967800000000000</v>
      </c>
      <c r="L69" s="3">
        <f>H69/K69</f>
        <v>6.0696038954544944</v>
      </c>
      <c r="M69" s="3">
        <f>L69-2.58</f>
        <v>3.4896038954544943</v>
      </c>
      <c r="N69" s="3">
        <f>I69/K69</f>
        <v>0.3024227605901218</v>
      </c>
    </row>
    <row r="70" spans="1:14" x14ac:dyDescent="0.3">
      <c r="A70" t="s">
        <v>112</v>
      </c>
      <c r="B70">
        <v>0.16314999999999999</v>
      </c>
    </row>
    <row r="71" spans="1:14" x14ac:dyDescent="0.3">
      <c r="A71" t="s">
        <v>113</v>
      </c>
      <c r="B71">
        <v>0.18812999999999999</v>
      </c>
    </row>
    <row r="72" spans="1:14" x14ac:dyDescent="0.3">
      <c r="A72" t="s">
        <v>114</v>
      </c>
      <c r="B72">
        <v>0.17820000000000003</v>
      </c>
      <c r="C72" s="1">
        <f>AVERAGE(B71:B73)</f>
        <v>0.18208333333333335</v>
      </c>
      <c r="D72" s="1">
        <f>_xlfn.STDEV.P(B71:B73)</f>
        <v>4.3329153644579141E-3</v>
      </c>
      <c r="E72" s="2">
        <f>C72/(79.9*1000)</f>
        <v>2.2788902795160619E-6</v>
      </c>
      <c r="F72" s="2">
        <f>D72/(79.9*1000)</f>
        <v>5.4229228591463257E-8</v>
      </c>
      <c r="G72">
        <f>5/1000</f>
        <v>5.0000000000000001E-3</v>
      </c>
      <c r="H72" s="2">
        <f>E72*G72*6.022141E+23</f>
        <v>6861899293387568</v>
      </c>
      <c r="I72" s="2">
        <f>F72*G72*6.022141E+23</f>
        <v>163288030449511.56</v>
      </c>
      <c r="J72">
        <v>1.5</v>
      </c>
      <c r="K72">
        <f>J72*645200000000000</f>
        <v>967800000000000</v>
      </c>
      <c r="L72" s="3">
        <f>H72/K72</f>
        <v>7.090203857602364</v>
      </c>
      <c r="M72" s="3">
        <f>L72-2.58</f>
        <v>4.510203857602364</v>
      </c>
      <c r="N72" s="3">
        <f>I72/K72</f>
        <v>0.16872084154733577</v>
      </c>
    </row>
    <row r="73" spans="1:14" x14ac:dyDescent="0.3">
      <c r="A73" t="s">
        <v>115</v>
      </c>
      <c r="B73">
        <v>0.17992</v>
      </c>
    </row>
    <row r="74" spans="1:14" x14ac:dyDescent="0.3">
      <c r="A74" t="s">
        <v>116</v>
      </c>
      <c r="B74">
        <v>0.17487</v>
      </c>
    </row>
    <row r="75" spans="1:14" x14ac:dyDescent="0.3">
      <c r="A75" t="s">
        <v>117</v>
      </c>
      <c r="B75">
        <v>0.18722</v>
      </c>
      <c r="C75" s="1">
        <f>AVERAGE(B74:B76)</f>
        <v>0.1797</v>
      </c>
      <c r="D75" s="1">
        <f>_xlfn.STDEV.P(B74:B76)</f>
        <v>5.3887351639013269E-3</v>
      </c>
      <c r="E75" s="2">
        <f>C75/(79.9*1000)</f>
        <v>2.2490613266583228E-6</v>
      </c>
      <c r="F75" s="2">
        <f>D75/(79.9*1000)</f>
        <v>6.7443493916161786E-8</v>
      </c>
      <c r="G75">
        <f>5/1000</f>
        <v>5.0000000000000001E-3</v>
      </c>
      <c r="H75" s="2">
        <f>E75*G75*6.022141E+23</f>
        <v>6772082213391739</v>
      </c>
      <c r="I75" s="2">
        <f>F75*G75*6.022141E+23</f>
        <v>203077114947884.25</v>
      </c>
      <c r="J75">
        <v>1.5</v>
      </c>
      <c r="K75">
        <f>J75*645200000000000</f>
        <v>967800000000000</v>
      </c>
      <c r="L75" s="3">
        <f>H75/K75</f>
        <v>6.9973984432648679</v>
      </c>
      <c r="M75" s="3">
        <f>L75-2.58</f>
        <v>4.4173984432648679</v>
      </c>
      <c r="N75" s="3">
        <f>I75/K75</f>
        <v>0.20983376208708851</v>
      </c>
    </row>
    <row r="76" spans="1:14" x14ac:dyDescent="0.3">
      <c r="A76" t="s">
        <v>118</v>
      </c>
      <c r="B76">
        <v>0.17701</v>
      </c>
    </row>
    <row r="77" spans="1:14" x14ac:dyDescent="0.3">
      <c r="A77" t="s">
        <v>2</v>
      </c>
    </row>
  </sheetData>
  <mergeCells count="6">
    <mergeCell ref="U8:V8"/>
    <mergeCell ref="Q24:Q28"/>
    <mergeCell ref="S8:T8"/>
    <mergeCell ref="Q9:Q13"/>
    <mergeCell ref="Q14:Q18"/>
    <mergeCell ref="Q19:Q23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7750-DC46-40D3-9F9D-DC18B47E7C17}">
  <dimension ref="A1:Q53"/>
  <sheetViews>
    <sheetView workbookViewId="0">
      <selection activeCell="D29" sqref="D29"/>
    </sheetView>
  </sheetViews>
  <sheetFormatPr defaultRowHeight="14.4" x14ac:dyDescent="0.3"/>
  <cols>
    <col min="1" max="1" width="12.109375" bestFit="1" customWidth="1"/>
    <col min="2" max="2" width="22" bestFit="1" customWidth="1"/>
    <col min="5" max="5" width="12" bestFit="1" customWidth="1"/>
    <col min="11" max="11" width="10" bestFit="1" customWidth="1"/>
  </cols>
  <sheetData>
    <row r="1" spans="1:17" x14ac:dyDescent="0.3">
      <c r="A1" t="s">
        <v>0</v>
      </c>
      <c r="B1" t="s">
        <v>1</v>
      </c>
      <c r="C1" t="s">
        <v>52</v>
      </c>
      <c r="D1" t="s">
        <v>55</v>
      </c>
      <c r="E1" t="s">
        <v>53</v>
      </c>
      <c r="F1" t="s">
        <v>55</v>
      </c>
      <c r="G1" t="s">
        <v>56</v>
      </c>
      <c r="H1" t="s">
        <v>58</v>
      </c>
      <c r="I1" t="s">
        <v>55</v>
      </c>
      <c r="J1" t="s">
        <v>60</v>
      </c>
      <c r="K1" t="s">
        <v>60</v>
      </c>
      <c r="L1" t="s">
        <v>63</v>
      </c>
      <c r="M1" t="s">
        <v>55</v>
      </c>
    </row>
    <row r="2" spans="1:17" x14ac:dyDescent="0.3">
      <c r="B2" t="s">
        <v>51</v>
      </c>
      <c r="C2" t="s">
        <v>51</v>
      </c>
      <c r="D2" t="s">
        <v>51</v>
      </c>
      <c r="E2" t="s">
        <v>54</v>
      </c>
      <c r="F2" t="s">
        <v>54</v>
      </c>
      <c r="G2" t="s">
        <v>57</v>
      </c>
      <c r="H2" t="s">
        <v>85</v>
      </c>
      <c r="I2" t="s">
        <v>59</v>
      </c>
      <c r="J2" t="s">
        <v>61</v>
      </c>
      <c r="K2" t="s">
        <v>62</v>
      </c>
      <c r="L2" t="s">
        <v>64</v>
      </c>
    </row>
    <row r="3" spans="1:17" x14ac:dyDescent="0.3">
      <c r="A3" t="s">
        <v>2</v>
      </c>
    </row>
    <row r="4" spans="1:17" x14ac:dyDescent="0.3">
      <c r="A4" t="s">
        <v>3</v>
      </c>
      <c r="B4">
        <v>0.01</v>
      </c>
    </row>
    <row r="5" spans="1:17" x14ac:dyDescent="0.3">
      <c r="A5" t="s">
        <v>4</v>
      </c>
      <c r="B5">
        <v>5.0999999999999997E-2</v>
      </c>
    </row>
    <row r="6" spans="1:17" x14ac:dyDescent="0.3">
      <c r="A6" t="s">
        <v>5</v>
      </c>
      <c r="B6">
        <v>0.1</v>
      </c>
    </row>
    <row r="7" spans="1:17" x14ac:dyDescent="0.3">
      <c r="A7" t="s">
        <v>2</v>
      </c>
      <c r="P7" t="s">
        <v>86</v>
      </c>
      <c r="Q7" t="s">
        <v>55</v>
      </c>
    </row>
    <row r="8" spans="1:17" x14ac:dyDescent="0.3">
      <c r="A8" t="s">
        <v>70</v>
      </c>
      <c r="B8" s="3">
        <v>1.7999999999999999E-2</v>
      </c>
      <c r="O8" t="s">
        <v>65</v>
      </c>
      <c r="P8" s="14" t="s">
        <v>64</v>
      </c>
      <c r="Q8" s="14"/>
    </row>
    <row r="9" spans="1:17" x14ac:dyDescent="0.3">
      <c r="A9" t="s">
        <v>71</v>
      </c>
      <c r="B9" s="3">
        <v>1.4999999999999999E-2</v>
      </c>
      <c r="C9" s="1">
        <f>AVERAGE(B8:B10)</f>
        <v>1.8126420000000001E-2</v>
      </c>
      <c r="D9" s="1">
        <f>_xlfn.STDEV.P(B8:B10)</f>
        <v>2.6058557198739923E-3</v>
      </c>
      <c r="E9" s="2">
        <f>C9/(79.9*1000)</f>
        <v>2.2686382978723406E-7</v>
      </c>
      <c r="F9" s="2">
        <f>D9/(79.9*1000)</f>
        <v>3.2613963953366613E-8</v>
      </c>
      <c r="G9">
        <f>10/1000</f>
        <v>0.01</v>
      </c>
      <c r="H9" s="2">
        <f>E9*G9*6.022141E+23</f>
        <v>1366205970778723.5</v>
      </c>
      <c r="I9" s="2">
        <f>F9*G9*6.022141E+23</f>
        <v>196405889496091.19</v>
      </c>
      <c r="J9">
        <v>0.78539999999999999</v>
      </c>
      <c r="K9">
        <f>J9*645200000000000</f>
        <v>506740080000000</v>
      </c>
      <c r="L9" s="3">
        <f>H9/K9</f>
        <v>2.6960685067159549</v>
      </c>
      <c r="M9" s="3">
        <f>I9/K9</f>
        <v>0.38758704363012136</v>
      </c>
      <c r="O9">
        <v>10.5</v>
      </c>
      <c r="P9" s="3">
        <v>2.6960685067159549</v>
      </c>
      <c r="Q9" s="3">
        <v>0.38758704363012136</v>
      </c>
    </row>
    <row r="10" spans="1:17" x14ac:dyDescent="0.3">
      <c r="A10" t="s">
        <v>72</v>
      </c>
      <c r="B10" s="3">
        <v>2.1379260000000001E-2</v>
      </c>
      <c r="O10">
        <v>10</v>
      </c>
      <c r="P10" s="3">
        <v>2.5285282264325351</v>
      </c>
      <c r="Q10" s="3">
        <v>0.24288642960722501</v>
      </c>
    </row>
    <row r="11" spans="1:17" x14ac:dyDescent="0.3">
      <c r="A11" t="s">
        <v>73</v>
      </c>
      <c r="B11" s="3">
        <v>1.7000000000000001E-2</v>
      </c>
      <c r="O11">
        <v>9</v>
      </c>
      <c r="P11" s="3">
        <v>2.6276861960965561</v>
      </c>
      <c r="Q11" s="3">
        <v>0.39038531695276274</v>
      </c>
    </row>
    <row r="12" spans="1:17" x14ac:dyDescent="0.3">
      <c r="A12" t="s">
        <v>74</v>
      </c>
      <c r="B12" s="3">
        <v>1.9E-2</v>
      </c>
      <c r="C12" s="1">
        <f>AVERAGE(B11:B13)</f>
        <v>1.7000000000000001E-2</v>
      </c>
      <c r="D12" s="1">
        <f>_xlfn.STDEV.P(B11:B13)</f>
        <v>1.6329931618554523E-3</v>
      </c>
      <c r="E12" s="2">
        <f>C12/(79.9*1000)</f>
        <v>2.1276595744680852E-7</v>
      </c>
      <c r="F12" s="2">
        <f>D12/(79.9*1000)</f>
        <v>2.0437961975662734E-8</v>
      </c>
      <c r="G12">
        <f>10/1000</f>
        <v>0.01</v>
      </c>
      <c r="H12" s="2">
        <f>E12*G12*6.022141E+23</f>
        <v>1281306595744681</v>
      </c>
      <c r="I12" s="2">
        <f>F12*G12*6.022141E+23</f>
        <v>123080288770079.56</v>
      </c>
      <c r="J12">
        <v>0.78539999999999999</v>
      </c>
      <c r="K12">
        <f>J12*645200000000000</f>
        <v>506740080000000</v>
      </c>
      <c r="L12" s="3">
        <f>H12/K12</f>
        <v>2.5285282264325351</v>
      </c>
      <c r="M12" s="3">
        <f>I12/K12</f>
        <v>0.24288642960722501</v>
      </c>
      <c r="O12">
        <v>7</v>
      </c>
      <c r="P12" s="3">
        <v>2.6276861960965561</v>
      </c>
      <c r="Q12" s="3">
        <v>0.3505763637905962</v>
      </c>
    </row>
    <row r="13" spans="1:17" x14ac:dyDescent="0.3">
      <c r="A13" t="s">
        <v>75</v>
      </c>
      <c r="B13" s="3">
        <v>1.4999999999999999E-2</v>
      </c>
      <c r="O13">
        <v>5</v>
      </c>
      <c r="P13" s="3">
        <v>2.4293702567685145</v>
      </c>
      <c r="Q13" s="3">
        <v>0.30562538835143194</v>
      </c>
    </row>
    <row r="14" spans="1:17" x14ac:dyDescent="0.3">
      <c r="A14" t="s">
        <v>76</v>
      </c>
      <c r="B14" s="3">
        <v>0.02</v>
      </c>
    </row>
    <row r="15" spans="1:17" x14ac:dyDescent="0.3">
      <c r="A15" t="s">
        <v>77</v>
      </c>
      <c r="B15" s="3">
        <v>1.9E-2</v>
      </c>
      <c r="C15" s="1">
        <f>AVERAGE(B14:B16)</f>
        <v>1.7666666666666667E-2</v>
      </c>
      <c r="D15" s="1">
        <f>_xlfn.STDEV.P(B14:B16)</f>
        <v>2.6246692913372703E-3</v>
      </c>
      <c r="E15" s="2">
        <f>C15/(79.9*1000)</f>
        <v>2.2110972048393826E-7</v>
      </c>
      <c r="F15" s="2">
        <f>D15/(79.9*1000)</f>
        <v>3.2849427926624159E-8</v>
      </c>
      <c r="G15">
        <f>10/1000</f>
        <v>0.01</v>
      </c>
      <c r="H15" s="2">
        <f>E15*G15*6.022141E+23</f>
        <v>1331553913224864.5</v>
      </c>
      <c r="I15" s="2">
        <f>F15*G15*6.022141E+23</f>
        <v>197823886743468.34</v>
      </c>
      <c r="J15">
        <v>0.78539999999999999</v>
      </c>
      <c r="K15">
        <f>J15*645200000000000</f>
        <v>506740080000000</v>
      </c>
      <c r="L15" s="3">
        <f>H15/K15</f>
        <v>2.6276861960965561</v>
      </c>
      <c r="M15" s="3">
        <f>I15/K15</f>
        <v>0.39038531695276274</v>
      </c>
    </row>
    <row r="16" spans="1:17" x14ac:dyDescent="0.3">
      <c r="A16" t="s">
        <v>78</v>
      </c>
      <c r="B16" s="3">
        <v>1.4E-2</v>
      </c>
    </row>
    <row r="17" spans="1:16" x14ac:dyDescent="0.3">
      <c r="A17" t="s">
        <v>79</v>
      </c>
      <c r="B17" s="3">
        <v>1.6E-2</v>
      </c>
    </row>
    <row r="18" spans="1:16" x14ac:dyDescent="0.3">
      <c r="A18" t="s">
        <v>80</v>
      </c>
      <c r="B18" s="3">
        <v>1.6E-2</v>
      </c>
      <c r="C18" s="1">
        <f>AVERAGE(B17:B19)</f>
        <v>1.7666666666666667E-2</v>
      </c>
      <c r="D18" s="1">
        <f>_xlfn.STDEV.P(B17:B19)</f>
        <v>2.3570226039551592E-3</v>
      </c>
      <c r="E18" s="2">
        <f>C18/(79.9*1000)</f>
        <v>2.2110972048393826E-7</v>
      </c>
      <c r="F18" s="2">
        <f>D18/(79.9*1000)</f>
        <v>2.9499657120840542E-8</v>
      </c>
      <c r="G18">
        <f>10/1000</f>
        <v>0.01</v>
      </c>
      <c r="H18" s="2">
        <f>E18*G18*6.022141E+23</f>
        <v>1331553913224864.5</v>
      </c>
      <c r="I18" s="2">
        <f>F18*G18*6.022141E+23</f>
        <v>177651094633355.81</v>
      </c>
      <c r="J18">
        <v>0.78539999999999999</v>
      </c>
      <c r="K18">
        <f>J18*645200000000000</f>
        <v>506740080000000</v>
      </c>
      <c r="L18" s="3">
        <f>H18/K18</f>
        <v>2.6276861960965561</v>
      </c>
      <c r="M18" s="3">
        <f>I18/K18</f>
        <v>0.3505763637905962</v>
      </c>
      <c r="P18" s="3">
        <f>AVERAGE(P9:P13)</f>
        <v>2.5818678764220233</v>
      </c>
    </row>
    <row r="19" spans="1:16" x14ac:dyDescent="0.3">
      <c r="A19" t="s">
        <v>81</v>
      </c>
      <c r="B19" s="3">
        <v>2.1000000000000001E-2</v>
      </c>
    </row>
    <row r="20" spans="1:16" x14ac:dyDescent="0.3">
      <c r="A20" t="s">
        <v>82</v>
      </c>
      <c r="B20" s="3">
        <v>1.9E-2</v>
      </c>
    </row>
    <row r="21" spans="1:16" x14ac:dyDescent="0.3">
      <c r="A21" t="s">
        <v>83</v>
      </c>
      <c r="B21" s="3">
        <v>1.4E-2</v>
      </c>
      <c r="C21" s="1">
        <f>AVERAGE(B20:B22)</f>
        <v>1.6333333333333335E-2</v>
      </c>
      <c r="D21" s="1">
        <f>_xlfn.STDEV.P(B20:B22)</f>
        <v>2.0548046676563251E-3</v>
      </c>
      <c r="E21" s="2">
        <f>C21/(79.9*1000)</f>
        <v>2.0442219440967878E-7</v>
      </c>
      <c r="F21" s="2">
        <f>D21/(79.9*1000)</f>
        <v>2.5717204851768775E-8</v>
      </c>
      <c r="G21">
        <f>10/1000</f>
        <v>0.01</v>
      </c>
      <c r="H21" s="2">
        <f>E21*G21*6.022141E+23</f>
        <v>1231059278264497.5</v>
      </c>
      <c r="I21" s="2">
        <f>F21*G21*6.022141E+23</f>
        <v>154872633743235.69</v>
      </c>
      <c r="J21">
        <v>0.78539999999999999</v>
      </c>
      <c r="K21">
        <f>J21*645200000000000</f>
        <v>506740080000000</v>
      </c>
      <c r="L21" s="3">
        <f>H21/K21</f>
        <v>2.4293702567685145</v>
      </c>
      <c r="M21" s="3">
        <f>I21/K21</f>
        <v>0.30562538835143194</v>
      </c>
    </row>
    <row r="22" spans="1:16" x14ac:dyDescent="0.3">
      <c r="A22" t="s">
        <v>84</v>
      </c>
      <c r="B22" s="3">
        <v>1.6E-2</v>
      </c>
    </row>
    <row r="25" spans="1:16" x14ac:dyDescent="0.3">
      <c r="C25" s="1"/>
      <c r="D25" s="1"/>
      <c r="E25" s="2"/>
      <c r="F25" s="2"/>
      <c r="H25" s="2"/>
      <c r="I25" s="2"/>
      <c r="L25" s="3"/>
      <c r="M25" s="3"/>
    </row>
    <row r="26" spans="1:16" x14ac:dyDescent="0.3">
      <c r="C26" s="1"/>
    </row>
    <row r="27" spans="1:16" x14ac:dyDescent="0.3">
      <c r="C27" s="1"/>
    </row>
    <row r="28" spans="1:16" x14ac:dyDescent="0.3">
      <c r="C28" s="1"/>
      <c r="D28" s="1"/>
      <c r="E28" s="2"/>
      <c r="F28" s="2"/>
      <c r="H28" s="2"/>
      <c r="I28" s="2"/>
      <c r="L28" s="3"/>
      <c r="M28" s="3"/>
    </row>
    <row r="29" spans="1:16" x14ac:dyDescent="0.3">
      <c r="C29" s="1"/>
    </row>
    <row r="30" spans="1:16" x14ac:dyDescent="0.3">
      <c r="C30" s="1"/>
    </row>
    <row r="31" spans="1:16" x14ac:dyDescent="0.3">
      <c r="C31" s="1"/>
      <c r="D31" s="1"/>
      <c r="E31" s="2"/>
      <c r="F31" s="2"/>
      <c r="H31" s="2"/>
      <c r="I31" s="2"/>
      <c r="L31" s="3"/>
      <c r="M31" s="3"/>
    </row>
    <row r="32" spans="1:16" x14ac:dyDescent="0.3">
      <c r="C32" s="1"/>
    </row>
    <row r="33" spans="3:13" x14ac:dyDescent="0.3">
      <c r="C33" s="1"/>
    </row>
    <row r="34" spans="3:13" x14ac:dyDescent="0.3">
      <c r="C34" s="1"/>
      <c r="D34" s="1"/>
      <c r="E34" s="2"/>
      <c r="F34" s="2"/>
      <c r="H34" s="2"/>
      <c r="I34" s="2"/>
      <c r="L34" s="3"/>
      <c r="M34" s="3"/>
    </row>
    <row r="35" spans="3:13" x14ac:dyDescent="0.3">
      <c r="C35" s="1"/>
    </row>
    <row r="36" spans="3:13" x14ac:dyDescent="0.3">
      <c r="C36" s="1"/>
    </row>
    <row r="37" spans="3:13" x14ac:dyDescent="0.3">
      <c r="C37" s="1"/>
      <c r="D37" s="1"/>
      <c r="E37" s="2"/>
      <c r="F37" s="2"/>
      <c r="H37" s="2"/>
      <c r="I37" s="2"/>
      <c r="L37" s="3"/>
      <c r="M37" s="3"/>
    </row>
    <row r="38" spans="3:13" x14ac:dyDescent="0.3">
      <c r="C38" s="1"/>
    </row>
    <row r="39" spans="3:13" x14ac:dyDescent="0.3">
      <c r="C39" s="1"/>
    </row>
    <row r="40" spans="3:13" x14ac:dyDescent="0.3">
      <c r="C40" s="1"/>
    </row>
    <row r="41" spans="3:13" x14ac:dyDescent="0.3">
      <c r="C41" s="1"/>
      <c r="D41" s="1"/>
      <c r="E41" s="2"/>
      <c r="F41" s="2"/>
      <c r="H41" s="2"/>
      <c r="I41" s="2"/>
      <c r="L41" s="3"/>
      <c r="M41" s="3"/>
    </row>
    <row r="44" spans="3:13" x14ac:dyDescent="0.3">
      <c r="C44" s="1"/>
      <c r="D44" s="1"/>
      <c r="E44" s="2"/>
      <c r="F44" s="2"/>
      <c r="H44" s="2"/>
      <c r="I44" s="2"/>
      <c r="L44" s="3"/>
      <c r="M44" s="3"/>
    </row>
    <row r="47" spans="3:13" x14ac:dyDescent="0.3">
      <c r="C47" s="1"/>
      <c r="D47" s="1"/>
      <c r="E47" s="2"/>
      <c r="F47" s="2"/>
      <c r="H47" s="2"/>
      <c r="I47" s="2"/>
      <c r="L47" s="3"/>
      <c r="M47" s="3"/>
    </row>
    <row r="50" spans="3:13" x14ac:dyDescent="0.3">
      <c r="C50" s="1"/>
      <c r="D50" s="1"/>
      <c r="E50" s="2"/>
      <c r="F50" s="2"/>
      <c r="H50" s="2"/>
      <c r="I50" s="2"/>
      <c r="L50" s="3"/>
      <c r="M50" s="3"/>
    </row>
    <row r="53" spans="3:13" x14ac:dyDescent="0.3">
      <c r="C53" s="1"/>
      <c r="D53" s="1"/>
      <c r="E53" s="2"/>
      <c r="F53" s="2"/>
      <c r="H53" s="2"/>
      <c r="I53" s="2"/>
      <c r="L53" s="3"/>
      <c r="M53" s="3"/>
    </row>
  </sheetData>
  <mergeCells count="1">
    <mergeCell ref="P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D988-FC88-4C27-8863-DDE041B24B0A}">
  <dimension ref="A1:AG50"/>
  <sheetViews>
    <sheetView tabSelected="1" workbookViewId="0">
      <selection activeCell="B22" sqref="B22"/>
    </sheetView>
  </sheetViews>
  <sheetFormatPr defaultRowHeight="14.4" x14ac:dyDescent="0.3"/>
  <cols>
    <col min="10" max="10" width="12" bestFit="1" customWidth="1"/>
    <col min="14" max="15" width="9.5546875" bestFit="1" customWidth="1"/>
    <col min="16" max="17" width="9.5546875" customWidth="1"/>
    <col min="20" max="20" width="18.6640625" bestFit="1" customWidth="1"/>
    <col min="21" max="21" width="18.6640625" customWidth="1"/>
  </cols>
  <sheetData>
    <row r="1" spans="1:31" x14ac:dyDescent="0.3">
      <c r="B1" s="16" t="s">
        <v>68</v>
      </c>
      <c r="C1" s="16"/>
      <c r="D1" s="16"/>
      <c r="E1" s="4"/>
      <c r="G1" s="5" t="s">
        <v>89</v>
      </c>
      <c r="H1" s="6">
        <v>4.1486299394268018</v>
      </c>
      <c r="I1" s="6" t="s">
        <v>101</v>
      </c>
      <c r="J1" s="6">
        <f>14-H1</f>
        <v>9.8513700605731991</v>
      </c>
      <c r="K1" t="s">
        <v>102</v>
      </c>
      <c r="P1" s="5" t="s">
        <v>89</v>
      </c>
      <c r="Q1" s="6">
        <v>4.5006610319085345</v>
      </c>
      <c r="R1" s="6" t="s">
        <v>101</v>
      </c>
      <c r="S1" s="6">
        <f>14-Q1</f>
        <v>9.4993389680914646</v>
      </c>
      <c r="T1" t="s">
        <v>102</v>
      </c>
      <c r="X1" s="6"/>
    </row>
    <row r="2" spans="1:31" x14ac:dyDescent="0.3">
      <c r="B2">
        <v>10.5</v>
      </c>
      <c r="C2" s="3">
        <v>0.83368167423235118</v>
      </c>
      <c r="D2" s="3">
        <v>0.65338713259759729</v>
      </c>
      <c r="G2" s="14" t="s">
        <v>68</v>
      </c>
      <c r="H2" s="14"/>
      <c r="I2" s="14"/>
      <c r="J2" s="14"/>
      <c r="K2" s="14"/>
      <c r="L2" s="14"/>
      <c r="M2" s="14"/>
      <c r="N2" s="14"/>
      <c r="O2" s="8"/>
      <c r="P2" s="14" t="s">
        <v>90</v>
      </c>
      <c r="Q2" s="14"/>
      <c r="R2" s="14"/>
      <c r="S2" s="14"/>
      <c r="T2" s="14"/>
      <c r="U2" s="14"/>
      <c r="V2" s="14"/>
      <c r="W2" s="14"/>
      <c r="X2" s="8"/>
      <c r="Y2" s="8"/>
      <c r="Z2" s="8"/>
      <c r="AA2" s="8"/>
      <c r="AB2" s="8"/>
      <c r="AC2" s="8"/>
      <c r="AD2" s="8"/>
      <c r="AE2" s="8"/>
    </row>
    <row r="3" spans="1:31" x14ac:dyDescent="0.3">
      <c r="B3">
        <v>9.9600000000000009</v>
      </c>
      <c r="C3" s="3">
        <v>1.2230750211029613</v>
      </c>
      <c r="D3" s="3">
        <v>0.64872926394654606</v>
      </c>
      <c r="G3" t="s">
        <v>65</v>
      </c>
      <c r="H3" t="s">
        <v>99</v>
      </c>
      <c r="I3" t="s">
        <v>100</v>
      </c>
      <c r="J3" t="s">
        <v>98</v>
      </c>
      <c r="K3" t="s">
        <v>92</v>
      </c>
      <c r="L3" t="s">
        <v>93</v>
      </c>
      <c r="M3" t="s">
        <v>94</v>
      </c>
      <c r="N3" t="s">
        <v>95</v>
      </c>
      <c r="O3" s="1"/>
      <c r="P3" t="s">
        <v>65</v>
      </c>
      <c r="Q3" t="s">
        <v>99</v>
      </c>
      <c r="R3" t="s">
        <v>100</v>
      </c>
      <c r="S3" t="s">
        <v>98</v>
      </c>
      <c r="T3" t="s">
        <v>92</v>
      </c>
      <c r="U3" t="s">
        <v>93</v>
      </c>
      <c r="V3" t="s">
        <v>94</v>
      </c>
      <c r="W3" t="s">
        <v>95</v>
      </c>
    </row>
    <row r="4" spans="1:31" x14ac:dyDescent="0.3">
      <c r="A4" t="s">
        <v>91</v>
      </c>
      <c r="B4">
        <v>8.9</v>
      </c>
      <c r="C4" s="3">
        <v>3.3128193159752364</v>
      </c>
      <c r="D4" s="3">
        <v>1.08208075852874</v>
      </c>
      <c r="G4">
        <v>2</v>
      </c>
      <c r="H4" s="6">
        <f t="shared" ref="H4:H24" si="0">$H$1</f>
        <v>4.1486299394268018</v>
      </c>
      <c r="I4">
        <f t="shared" ref="I4:I6" si="1">10^-H4</f>
        <v>7.1018265398618409E-5</v>
      </c>
      <c r="J4">
        <f t="shared" ref="J4:J6" si="2">10^-(14-G4)</f>
        <v>9.9999999999999998E-13</v>
      </c>
      <c r="K4" s="6">
        <v>3.5</v>
      </c>
      <c r="L4" s="3">
        <f t="shared" ref="L4:L6" si="3">$K4*(I4/(I4+J4))</f>
        <v>3.4999999507169046</v>
      </c>
      <c r="O4" s="1"/>
      <c r="P4">
        <v>2</v>
      </c>
      <c r="Q4" s="6">
        <f>$Q$1</f>
        <v>4.5006610319085345</v>
      </c>
      <c r="R4">
        <f t="shared" ref="R4:R6" si="4">10^-Q4</f>
        <v>3.157468074792337E-5</v>
      </c>
      <c r="S4">
        <f t="shared" ref="S4:S6" si="5">10^-(14-P4)</f>
        <v>9.9999999999999998E-13</v>
      </c>
      <c r="T4" s="6">
        <v>4.4640000000000004</v>
      </c>
      <c r="U4" s="3">
        <f t="shared" ref="U4:U24" si="6">$T4*(R4/(R4+S4))</f>
        <v>4.4639998586209026</v>
      </c>
    </row>
    <row r="5" spans="1:31" x14ac:dyDescent="0.3">
      <c r="B5">
        <v>6.6</v>
      </c>
      <c r="C5" s="3">
        <v>4.0137273403423359</v>
      </c>
      <c r="D5" s="3">
        <v>1.0517625706946894</v>
      </c>
      <c r="G5">
        <v>2.5</v>
      </c>
      <c r="H5" s="6">
        <f t="shared" si="0"/>
        <v>4.1486299394268018</v>
      </c>
      <c r="I5">
        <f t="shared" si="1"/>
        <v>7.1018265398618409E-5</v>
      </c>
      <c r="J5">
        <f t="shared" si="2"/>
        <v>3.1622776601683669E-12</v>
      </c>
      <c r="K5" s="6">
        <v>3.5</v>
      </c>
      <c r="L5" s="3">
        <f t="shared" si="3"/>
        <v>3.499999844153173</v>
      </c>
      <c r="O5" s="1"/>
      <c r="P5">
        <v>2.5</v>
      </c>
      <c r="Q5" s="6">
        <f t="shared" ref="Q5:Q24" si="7">$Q$1</f>
        <v>4.5006610319085345</v>
      </c>
      <c r="R5">
        <f t="shared" si="4"/>
        <v>3.157468074792337E-5</v>
      </c>
      <c r="S5">
        <f t="shared" si="5"/>
        <v>3.1622776601683669E-12</v>
      </c>
      <c r="T5" s="6">
        <v>4.4640000000000004</v>
      </c>
      <c r="U5" s="3">
        <f t="shared" si="6"/>
        <v>4.4639995529200709</v>
      </c>
    </row>
    <row r="6" spans="1:31" x14ac:dyDescent="0.3">
      <c r="A6" t="s">
        <v>96</v>
      </c>
      <c r="B6">
        <v>5.18</v>
      </c>
      <c r="C6" s="3">
        <v>3.1311024207689524</v>
      </c>
      <c r="D6" s="3">
        <v>0.94011593780761316</v>
      </c>
      <c r="G6">
        <v>3</v>
      </c>
      <c r="H6" s="6">
        <f t="shared" si="0"/>
        <v>4.1486299394268018</v>
      </c>
      <c r="I6">
        <f t="shared" si="1"/>
        <v>7.1018265398618409E-5</v>
      </c>
      <c r="J6">
        <f t="shared" si="2"/>
        <v>9.9999999999999994E-12</v>
      </c>
      <c r="K6" s="6">
        <v>3.5</v>
      </c>
      <c r="L6" s="3">
        <f t="shared" si="3"/>
        <v>3.4999995071691079</v>
      </c>
      <c r="O6" s="1"/>
      <c r="P6">
        <v>3</v>
      </c>
      <c r="Q6" s="6">
        <f t="shared" si="7"/>
        <v>4.5006610319085345</v>
      </c>
      <c r="R6">
        <f t="shared" si="4"/>
        <v>3.157468074792337E-5</v>
      </c>
      <c r="S6">
        <f t="shared" si="5"/>
        <v>9.9999999999999994E-12</v>
      </c>
      <c r="T6" s="6">
        <v>4.4640000000000004</v>
      </c>
      <c r="U6" s="3">
        <f>$T6*(R6/(R6+S6))</f>
        <v>4.4639985862094314</v>
      </c>
    </row>
    <row r="7" spans="1:31" x14ac:dyDescent="0.3">
      <c r="B7" s="16" t="s">
        <v>90</v>
      </c>
      <c r="C7" s="16"/>
      <c r="D7" s="16"/>
      <c r="G7">
        <v>3.5</v>
      </c>
      <c r="H7" s="6">
        <f>$H$1</f>
        <v>4.1486299394268018</v>
      </c>
      <c r="I7">
        <f t="shared" ref="I7:I24" si="8">10^-H7</f>
        <v>7.1018265398618409E-5</v>
      </c>
      <c r="J7">
        <f>10^-(14-G7)</f>
        <v>3.162277660168371E-11</v>
      </c>
      <c r="K7" s="6">
        <v>3.5</v>
      </c>
      <c r="L7" s="3">
        <f>$K7*(I7/(I7+J7))</f>
        <v>3.4999984415323553</v>
      </c>
      <c r="M7" s="3"/>
      <c r="N7" s="1"/>
      <c r="P7">
        <v>3.5</v>
      </c>
      <c r="Q7" s="6">
        <f t="shared" si="7"/>
        <v>4.5006610319085345</v>
      </c>
      <c r="R7">
        <f t="shared" ref="R7:R24" si="9">10^-Q7</f>
        <v>3.157468074792337E-5</v>
      </c>
      <c r="S7">
        <f>10^-(14-P7)</f>
        <v>3.162277660168371E-11</v>
      </c>
      <c r="T7" s="6">
        <v>4.4640000000000004</v>
      </c>
      <c r="U7" s="3">
        <f t="shared" si="6"/>
        <v>4.4639955292047295</v>
      </c>
      <c r="V7" s="3"/>
      <c r="W7" s="1"/>
      <c r="X7" s="6"/>
      <c r="Y7" s="3"/>
      <c r="Z7" s="3"/>
      <c r="AA7" s="1"/>
    </row>
    <row r="8" spans="1:31" x14ac:dyDescent="0.3">
      <c r="B8">
        <v>10.48</v>
      </c>
      <c r="C8" s="3">
        <v>0.93751990006451447</v>
      </c>
      <c r="D8" s="3">
        <v>0.18629486421304661</v>
      </c>
      <c r="E8" s="4"/>
      <c r="G8">
        <v>4</v>
      </c>
      <c r="H8" s="6">
        <f t="shared" si="0"/>
        <v>4.1486299394268018</v>
      </c>
      <c r="I8">
        <f t="shared" si="8"/>
        <v>7.1018265398618409E-5</v>
      </c>
      <c r="J8">
        <f t="shared" ref="J8:J24" si="10">10^-(14-G8)</f>
        <v>1E-10</v>
      </c>
      <c r="K8" s="6">
        <v>3.5</v>
      </c>
      <c r="L8" s="3">
        <f t="shared" ref="L8:L24" si="11">$K8*(I8/(I8+J8))</f>
        <v>3.4999950716973278</v>
      </c>
      <c r="M8" s="3"/>
      <c r="P8">
        <v>4</v>
      </c>
      <c r="Q8" s="6">
        <f t="shared" si="7"/>
        <v>4.5006610319085345</v>
      </c>
      <c r="R8">
        <f t="shared" si="9"/>
        <v>3.157468074792337E-5</v>
      </c>
      <c r="S8">
        <f t="shared" ref="S8:S24" si="12">10^-(14-P8)</f>
        <v>1E-10</v>
      </c>
      <c r="T8" s="6">
        <v>4.4640000000000004</v>
      </c>
      <c r="U8" s="3">
        <f t="shared" si="6"/>
        <v>4.4639858621346082</v>
      </c>
      <c r="V8" s="3"/>
      <c r="X8" s="6"/>
      <c r="Y8" s="3"/>
      <c r="Z8" s="3"/>
    </row>
    <row r="9" spans="1:31" x14ac:dyDescent="0.3">
      <c r="B9">
        <v>10.050000000000001</v>
      </c>
      <c r="C9" s="3">
        <v>0.72984344840018833</v>
      </c>
      <c r="D9" s="3">
        <v>0.22027414089690725</v>
      </c>
      <c r="G9">
        <v>4.5</v>
      </c>
      <c r="H9" s="6">
        <f t="shared" si="0"/>
        <v>4.1486299394268018</v>
      </c>
      <c r="I9">
        <f t="shared" si="8"/>
        <v>7.1018265398618409E-5</v>
      </c>
      <c r="J9">
        <f t="shared" si="10"/>
        <v>3.1622776601683744E-10</v>
      </c>
      <c r="K9" s="6">
        <v>3.5</v>
      </c>
      <c r="L9" s="3">
        <f t="shared" si="11"/>
        <v>3.499984415386006</v>
      </c>
      <c r="M9" s="3"/>
      <c r="O9" s="1"/>
      <c r="P9">
        <v>4.5</v>
      </c>
      <c r="Q9" s="6">
        <f t="shared" si="7"/>
        <v>4.5006610319085345</v>
      </c>
      <c r="R9">
        <f t="shared" si="9"/>
        <v>3.157468074792337E-5</v>
      </c>
      <c r="S9">
        <f t="shared" si="12"/>
        <v>3.1622776601683744E-10</v>
      </c>
      <c r="T9" s="6">
        <v>4.4640000000000004</v>
      </c>
      <c r="U9" s="3">
        <f t="shared" si="6"/>
        <v>4.4639552924502706</v>
      </c>
      <c r="V9" s="3"/>
      <c r="X9" s="6"/>
      <c r="Y9" s="3"/>
      <c r="Z9" s="3"/>
    </row>
    <row r="10" spans="1:31" x14ac:dyDescent="0.3">
      <c r="A10" t="s">
        <v>91</v>
      </c>
      <c r="B10">
        <v>9.07</v>
      </c>
      <c r="C10" s="3">
        <v>3.4896038954544943</v>
      </c>
      <c r="D10" s="3">
        <v>0.3024227605901218</v>
      </c>
      <c r="G10">
        <v>5</v>
      </c>
      <c r="H10" s="6">
        <f t="shared" si="0"/>
        <v>4.1486299394268018</v>
      </c>
      <c r="I10">
        <f t="shared" si="8"/>
        <v>7.1018265398618409E-5</v>
      </c>
      <c r="J10">
        <f t="shared" si="10"/>
        <v>1.0000000000000001E-9</v>
      </c>
      <c r="K10" s="6">
        <v>3.5</v>
      </c>
      <c r="L10" s="3">
        <f t="shared" si="11"/>
        <v>3.4999507175978186</v>
      </c>
      <c r="M10" s="3">
        <v>3.1311024207689524</v>
      </c>
      <c r="N10" s="1">
        <f>(L10-M10)^2</f>
        <v>0.13604906607355541</v>
      </c>
      <c r="P10">
        <v>5</v>
      </c>
      <c r="Q10" s="6">
        <f t="shared" si="7"/>
        <v>4.5006610319085345</v>
      </c>
      <c r="R10">
        <f t="shared" si="9"/>
        <v>3.157468074792337E-5</v>
      </c>
      <c r="S10">
        <f t="shared" si="12"/>
        <v>1.0000000000000001E-9</v>
      </c>
      <c r="T10" s="6">
        <v>4.4640000000000004</v>
      </c>
      <c r="U10" s="3">
        <f t="shared" si="6"/>
        <v>4.4638586253757868</v>
      </c>
      <c r="V10" s="3">
        <v>4.4173984432648679</v>
      </c>
      <c r="W10" s="1">
        <f>(U10-V10)^2</f>
        <v>2.1585485217797541E-3</v>
      </c>
      <c r="X10" s="6"/>
      <c r="Y10" s="3"/>
      <c r="Z10" s="3"/>
      <c r="AA10" s="1"/>
    </row>
    <row r="11" spans="1:31" x14ac:dyDescent="0.3">
      <c r="B11">
        <v>7.23</v>
      </c>
      <c r="C11" s="3">
        <v>4.510203857602364</v>
      </c>
      <c r="D11" s="3">
        <v>0.16872084154733577</v>
      </c>
      <c r="G11">
        <v>5.5</v>
      </c>
      <c r="H11" s="6">
        <f t="shared" si="0"/>
        <v>4.1486299394268018</v>
      </c>
      <c r="I11">
        <f t="shared" si="8"/>
        <v>7.1018265398618409E-5</v>
      </c>
      <c r="J11">
        <f t="shared" si="10"/>
        <v>3.1622776601683779E-9</v>
      </c>
      <c r="K11" s="6">
        <v>3.5</v>
      </c>
      <c r="L11" s="3">
        <f t="shared" si="11"/>
        <v>3.4998441601052983</v>
      </c>
      <c r="M11" s="3"/>
      <c r="P11">
        <v>5.5</v>
      </c>
      <c r="Q11" s="6">
        <f t="shared" si="7"/>
        <v>4.5006610319085345</v>
      </c>
      <c r="R11">
        <f t="shared" si="9"/>
        <v>3.157468074792337E-5</v>
      </c>
      <c r="S11">
        <f t="shared" si="12"/>
        <v>3.1622776601683779E-9</v>
      </c>
      <c r="T11" s="6">
        <v>4.4640000000000004</v>
      </c>
      <c r="U11" s="3">
        <f t="shared" si="6"/>
        <v>4.4635529647967553</v>
      </c>
      <c r="V11" s="3"/>
      <c r="X11" s="6"/>
      <c r="Y11" s="3"/>
      <c r="Z11" s="3"/>
    </row>
    <row r="12" spans="1:31" x14ac:dyDescent="0.3">
      <c r="A12" t="s">
        <v>96</v>
      </c>
      <c r="B12">
        <v>5.04</v>
      </c>
      <c r="C12" s="3">
        <v>4.4173984432648679</v>
      </c>
      <c r="D12" s="3">
        <v>0.20983376208708851</v>
      </c>
      <c r="F12" s="3"/>
      <c r="G12">
        <v>6</v>
      </c>
      <c r="H12" s="6">
        <f t="shared" si="0"/>
        <v>4.1486299394268018</v>
      </c>
      <c r="I12">
        <f t="shared" si="8"/>
        <v>7.1018265398618409E-5</v>
      </c>
      <c r="J12">
        <f t="shared" si="10"/>
        <v>1E-8</v>
      </c>
      <c r="K12" s="6">
        <v>3.5</v>
      </c>
      <c r="L12" s="3">
        <f t="shared" si="11"/>
        <v>3.4995072384239774</v>
      </c>
      <c r="M12" s="3"/>
      <c r="P12">
        <v>6</v>
      </c>
      <c r="Q12" s="6">
        <f t="shared" si="7"/>
        <v>4.5006610319085345</v>
      </c>
      <c r="R12">
        <f t="shared" si="9"/>
        <v>3.157468074792337E-5</v>
      </c>
      <c r="S12">
        <f t="shared" si="12"/>
        <v>1E-8</v>
      </c>
      <c r="T12" s="6">
        <v>4.4640000000000004</v>
      </c>
      <c r="U12" s="3">
        <f t="shared" si="6"/>
        <v>4.4625866566024124</v>
      </c>
      <c r="V12" s="3"/>
      <c r="X12" s="6"/>
      <c r="Y12" s="3"/>
      <c r="Z12" s="3"/>
    </row>
    <row r="13" spans="1:31" x14ac:dyDescent="0.3">
      <c r="B13" s="16" t="s">
        <v>69</v>
      </c>
      <c r="C13" s="16"/>
      <c r="D13" s="16"/>
      <c r="G13">
        <v>6.5</v>
      </c>
      <c r="H13" s="6">
        <f t="shared" si="0"/>
        <v>4.1486299394268018</v>
      </c>
      <c r="I13">
        <f t="shared" si="8"/>
        <v>7.1018265398618409E-5</v>
      </c>
      <c r="J13">
        <f t="shared" si="10"/>
        <v>3.1622776601683699E-8</v>
      </c>
      <c r="K13" s="6">
        <v>3.5</v>
      </c>
      <c r="L13" s="3">
        <f t="shared" si="11"/>
        <v>3.4984422253018481</v>
      </c>
      <c r="M13" s="3"/>
      <c r="O13" s="1"/>
      <c r="P13">
        <v>6.5</v>
      </c>
      <c r="Q13" s="6">
        <f t="shared" si="7"/>
        <v>4.5006610319085345</v>
      </c>
      <c r="R13">
        <f t="shared" si="9"/>
        <v>3.157468074792337E-5</v>
      </c>
      <c r="S13">
        <f t="shared" si="12"/>
        <v>3.1622776601683699E-8</v>
      </c>
      <c r="T13" s="6">
        <v>4.4640000000000004</v>
      </c>
      <c r="U13" s="3">
        <f t="shared" si="6"/>
        <v>4.4595336733813129</v>
      </c>
      <c r="V13" s="3"/>
      <c r="X13" s="6"/>
      <c r="Y13" s="3"/>
      <c r="Z13" s="3"/>
    </row>
    <row r="14" spans="1:31" x14ac:dyDescent="0.3">
      <c r="B14">
        <v>10.5</v>
      </c>
      <c r="C14" s="3">
        <v>0.66494455725508628</v>
      </c>
      <c r="D14" s="3">
        <v>0.28673267292511451</v>
      </c>
      <c r="G14">
        <v>7</v>
      </c>
      <c r="H14" s="6">
        <f t="shared" si="0"/>
        <v>4.1486299394268018</v>
      </c>
      <c r="I14">
        <f t="shared" si="8"/>
        <v>7.1018265398618409E-5</v>
      </c>
      <c r="J14">
        <f t="shared" si="10"/>
        <v>9.9999999999999995E-8</v>
      </c>
      <c r="K14" s="6">
        <v>3.5</v>
      </c>
      <c r="L14" s="3">
        <f t="shared" si="11"/>
        <v>3.4950786201260922</v>
      </c>
      <c r="M14" s="3">
        <v>4.0137273403423359</v>
      </c>
      <c r="N14" s="1">
        <f>(L14-M14)^2</f>
        <v>0.2689964949819475</v>
      </c>
      <c r="P14">
        <v>7</v>
      </c>
      <c r="Q14" s="6">
        <f t="shared" si="7"/>
        <v>4.5006610319085345</v>
      </c>
      <c r="R14">
        <f t="shared" si="9"/>
        <v>3.157468074792337E-5</v>
      </c>
      <c r="S14">
        <f t="shared" si="12"/>
        <v>9.9999999999999995E-8</v>
      </c>
      <c r="T14" s="6">
        <v>4.4640000000000004</v>
      </c>
      <c r="U14" s="3">
        <f t="shared" si="6"/>
        <v>4.4499067245680362</v>
      </c>
      <c r="V14" s="3">
        <v>4.510203857602364</v>
      </c>
      <c r="W14" s="1">
        <f>(U14-V14)^2</f>
        <v>3.6357442521594272E-3</v>
      </c>
      <c r="X14" s="6"/>
      <c r="Y14" s="3"/>
      <c r="Z14" s="3"/>
      <c r="AA14" s="1"/>
    </row>
    <row r="15" spans="1:31" x14ac:dyDescent="0.3">
      <c r="B15">
        <v>9.9600000000000009</v>
      </c>
      <c r="C15" s="3">
        <v>0.70388389194214707</v>
      </c>
      <c r="D15" s="3">
        <v>0.19164412891255503</v>
      </c>
      <c r="E15" s="4"/>
      <c r="G15">
        <v>7.5</v>
      </c>
      <c r="H15" s="6">
        <f t="shared" si="0"/>
        <v>4.1486299394268018</v>
      </c>
      <c r="I15">
        <f t="shared" si="8"/>
        <v>7.1018265398618409E-5</v>
      </c>
      <c r="J15">
        <f t="shared" si="10"/>
        <v>3.1622776601683734E-7</v>
      </c>
      <c r="K15" s="6">
        <v>3.5</v>
      </c>
      <c r="L15" s="3">
        <f t="shared" si="11"/>
        <v>3.4844844039403977</v>
      </c>
      <c r="M15" s="3"/>
      <c r="P15">
        <v>7.5</v>
      </c>
      <c r="Q15" s="6">
        <f t="shared" si="7"/>
        <v>4.5006610319085345</v>
      </c>
      <c r="R15">
        <f t="shared" si="9"/>
        <v>3.157468074792337E-5</v>
      </c>
      <c r="S15">
        <f t="shared" si="12"/>
        <v>3.1622776601683734E-7</v>
      </c>
      <c r="T15" s="6">
        <v>4.4640000000000004</v>
      </c>
      <c r="U15" s="3">
        <f t="shared" si="6"/>
        <v>4.419735323536421</v>
      </c>
      <c r="V15" s="3"/>
      <c r="X15" s="6"/>
      <c r="Y15" s="3"/>
      <c r="Z15" s="3"/>
    </row>
    <row r="16" spans="1:31" x14ac:dyDescent="0.3">
      <c r="A16" t="s">
        <v>91</v>
      </c>
      <c r="B16">
        <v>8.9</v>
      </c>
      <c r="C16" s="3">
        <v>6.5318043167722823</v>
      </c>
      <c r="D16" s="3">
        <v>1.8016194019884115</v>
      </c>
      <c r="G16">
        <v>8</v>
      </c>
      <c r="H16" s="6">
        <f t="shared" si="0"/>
        <v>4.1486299394268018</v>
      </c>
      <c r="I16">
        <f t="shared" si="8"/>
        <v>7.1018265398618409E-5</v>
      </c>
      <c r="J16">
        <f t="shared" si="10"/>
        <v>9.9999999999999995E-7</v>
      </c>
      <c r="K16" s="6">
        <v>3.5</v>
      </c>
      <c r="L16" s="3">
        <f t="shared" si="11"/>
        <v>3.4514012177240367</v>
      </c>
      <c r="M16" s="3"/>
      <c r="P16">
        <v>8</v>
      </c>
      <c r="Q16" s="6">
        <f t="shared" si="7"/>
        <v>4.5006610319085345</v>
      </c>
      <c r="R16">
        <f t="shared" si="9"/>
        <v>3.157468074792337E-5</v>
      </c>
      <c r="S16">
        <f t="shared" si="12"/>
        <v>9.9999999999999995E-7</v>
      </c>
      <c r="T16" s="6">
        <v>4.4640000000000004</v>
      </c>
      <c r="U16" s="3">
        <f t="shared" si="6"/>
        <v>4.3269610514207555</v>
      </c>
      <c r="V16" s="3"/>
      <c r="X16" s="6"/>
      <c r="Y16" s="3"/>
      <c r="Z16" s="3"/>
    </row>
    <row r="17" spans="1:33" x14ac:dyDescent="0.3">
      <c r="B17">
        <v>6.6</v>
      </c>
      <c r="C17" s="3">
        <v>7.8427619179033368</v>
      </c>
      <c r="D17" s="3">
        <v>0.95610847304963831</v>
      </c>
      <c r="G17">
        <v>8.5</v>
      </c>
      <c r="H17" s="6">
        <f t="shared" si="0"/>
        <v>4.1486299394268018</v>
      </c>
      <c r="I17">
        <f t="shared" si="8"/>
        <v>7.1018265398618409E-5</v>
      </c>
      <c r="J17">
        <f t="shared" si="10"/>
        <v>3.1622776601683767E-6</v>
      </c>
      <c r="K17" s="6">
        <v>3.5</v>
      </c>
      <c r="L17" s="3">
        <f t="shared" si="11"/>
        <v>3.3507968349352995</v>
      </c>
      <c r="M17" s="3"/>
      <c r="O17" s="1"/>
      <c r="P17">
        <v>8.5</v>
      </c>
      <c r="Q17" s="6">
        <f t="shared" si="7"/>
        <v>4.5006610319085345</v>
      </c>
      <c r="R17">
        <f t="shared" si="9"/>
        <v>3.157468074792337E-5</v>
      </c>
      <c r="S17">
        <f t="shared" si="12"/>
        <v>3.1622776601683767E-6</v>
      </c>
      <c r="T17" s="6">
        <v>4.4640000000000004</v>
      </c>
      <c r="U17" s="3">
        <f t="shared" si="6"/>
        <v>4.0576199332955039</v>
      </c>
      <c r="V17" s="3"/>
      <c r="X17" s="6"/>
      <c r="Y17" s="3"/>
      <c r="Z17" s="3"/>
    </row>
    <row r="18" spans="1:33" x14ac:dyDescent="0.3">
      <c r="A18" t="s">
        <v>96</v>
      </c>
      <c r="B18">
        <v>5.18</v>
      </c>
      <c r="C18" s="3">
        <v>8.141296817170808</v>
      </c>
      <c r="D18" s="3">
        <v>1.0651329706272468</v>
      </c>
      <c r="G18">
        <v>9</v>
      </c>
      <c r="H18" s="6">
        <f t="shared" si="0"/>
        <v>4.1486299394268018</v>
      </c>
      <c r="I18">
        <f t="shared" si="8"/>
        <v>7.1018265398618409E-5</v>
      </c>
      <c r="J18">
        <f t="shared" si="10"/>
        <v>1.0000000000000001E-5</v>
      </c>
      <c r="K18" s="6">
        <v>3.5</v>
      </c>
      <c r="L18" s="3">
        <f t="shared" si="11"/>
        <v>3.0679986503315479</v>
      </c>
      <c r="M18" s="3">
        <v>3.3128193159752364</v>
      </c>
      <c r="N18" s="1">
        <f>(L18-M18)^2</f>
        <v>5.9937158326218681E-2</v>
      </c>
      <c r="P18">
        <v>9</v>
      </c>
      <c r="Q18" s="6">
        <f t="shared" si="7"/>
        <v>4.5006610319085345</v>
      </c>
      <c r="R18">
        <f t="shared" si="9"/>
        <v>3.157468074792337E-5</v>
      </c>
      <c r="S18">
        <f t="shared" si="12"/>
        <v>1.0000000000000001E-5</v>
      </c>
      <c r="T18" s="6">
        <v>4.4640000000000004</v>
      </c>
      <c r="U18" s="3">
        <f t="shared" si="6"/>
        <v>3.3902695660692541</v>
      </c>
      <c r="V18" s="3">
        <v>3.4896038954544943</v>
      </c>
      <c r="W18" s="1">
        <f>(U18-V18)^2</f>
        <v>9.8673089944154007E-3</v>
      </c>
      <c r="X18" s="6"/>
      <c r="Y18" s="3"/>
      <c r="Z18" s="3"/>
      <c r="AA18" s="1"/>
    </row>
    <row r="19" spans="1:33" x14ac:dyDescent="0.3">
      <c r="B19" s="16" t="s">
        <v>67</v>
      </c>
      <c r="C19" s="16"/>
      <c r="D19" s="16"/>
      <c r="G19">
        <v>9.5</v>
      </c>
      <c r="H19" s="6">
        <f t="shared" si="0"/>
        <v>4.1486299394268018</v>
      </c>
      <c r="I19">
        <f t="shared" si="8"/>
        <v>7.1018265398618409E-5</v>
      </c>
      <c r="J19">
        <f t="shared" si="10"/>
        <v>3.1622776601683748E-5</v>
      </c>
      <c r="K19" s="6">
        <v>3.5</v>
      </c>
      <c r="L19" s="3">
        <f t="shared" si="11"/>
        <v>2.4216816592180805</v>
      </c>
      <c r="M19" s="3"/>
      <c r="O19" s="1"/>
      <c r="P19">
        <v>9.5</v>
      </c>
      <c r="Q19" s="6">
        <f t="shared" si="7"/>
        <v>4.5006610319085345</v>
      </c>
      <c r="R19">
        <f t="shared" si="9"/>
        <v>3.157468074792337E-5</v>
      </c>
      <c r="S19">
        <f t="shared" si="12"/>
        <v>3.1622776601683748E-5</v>
      </c>
      <c r="T19" s="6">
        <v>4.4640000000000004</v>
      </c>
      <c r="U19" s="3">
        <f t="shared" si="6"/>
        <v>2.2303013565720011</v>
      </c>
      <c r="V19" s="3"/>
      <c r="X19" s="6"/>
      <c r="Y19" s="3"/>
      <c r="Z19" s="3"/>
    </row>
    <row r="20" spans="1:33" x14ac:dyDescent="0.3">
      <c r="B20">
        <v>10.5</v>
      </c>
      <c r="C20" s="3">
        <v>1.0383822583216278</v>
      </c>
      <c r="D20" s="3">
        <v>0.32162622829143445</v>
      </c>
      <c r="G20">
        <v>10</v>
      </c>
      <c r="H20" s="6">
        <f t="shared" si="0"/>
        <v>4.1486299394268018</v>
      </c>
      <c r="I20">
        <f t="shared" si="8"/>
        <v>7.1018265398618409E-5</v>
      </c>
      <c r="J20">
        <f t="shared" si="10"/>
        <v>1E-4</v>
      </c>
      <c r="K20" s="6">
        <v>3.5</v>
      </c>
      <c r="L20" s="3">
        <f t="shared" si="11"/>
        <v>1.4534349785141281</v>
      </c>
      <c r="M20" s="3">
        <v>1.2230750211029613</v>
      </c>
      <c r="N20" s="1">
        <f>(L20-M20)^2</f>
        <v>5.3065709978474568E-2</v>
      </c>
      <c r="O20" s="1"/>
      <c r="P20">
        <v>10</v>
      </c>
      <c r="Q20" s="6">
        <f t="shared" si="7"/>
        <v>4.5006610319085345</v>
      </c>
      <c r="R20">
        <f t="shared" si="9"/>
        <v>3.157468074792337E-5</v>
      </c>
      <c r="S20">
        <f t="shared" si="12"/>
        <v>1E-4</v>
      </c>
      <c r="T20" s="6">
        <v>4.4640000000000004</v>
      </c>
      <c r="U20" s="3">
        <f t="shared" si="6"/>
        <v>1.0712499856166628</v>
      </c>
      <c r="V20" s="3">
        <v>0.72984344840018833</v>
      </c>
      <c r="W20" s="1">
        <f>(U20-V20)^2</f>
        <v>0.116558423654144</v>
      </c>
      <c r="X20" s="6"/>
      <c r="Y20" s="3"/>
      <c r="Z20" s="3"/>
      <c r="AA20" s="1"/>
    </row>
    <row r="21" spans="1:33" x14ac:dyDescent="0.3">
      <c r="B21">
        <v>9.9600000000000009</v>
      </c>
      <c r="C21" s="3">
        <v>0.51919112916081378</v>
      </c>
      <c r="D21" s="3">
        <v>0.15683525706831516</v>
      </c>
      <c r="G21">
        <v>10.5</v>
      </c>
      <c r="H21" s="6">
        <f t="shared" si="0"/>
        <v>4.1486299394268018</v>
      </c>
      <c r="I21">
        <f t="shared" si="8"/>
        <v>7.1018265398618409E-5</v>
      </c>
      <c r="J21">
        <f t="shared" si="10"/>
        <v>3.1622776601683783E-4</v>
      </c>
      <c r="K21" s="6">
        <v>3.5</v>
      </c>
      <c r="L21" s="3">
        <f t="shared" si="11"/>
        <v>0.64187598769344922</v>
      </c>
      <c r="M21" s="3">
        <v>0.83368167423235118</v>
      </c>
      <c r="N21" s="1">
        <f>(L21-M21)^2</f>
        <v>3.6789421388659517E-2</v>
      </c>
      <c r="P21">
        <v>10.5</v>
      </c>
      <c r="Q21" s="6">
        <f t="shared" si="7"/>
        <v>4.5006610319085345</v>
      </c>
      <c r="R21">
        <f t="shared" si="9"/>
        <v>3.157468074792337E-5</v>
      </c>
      <c r="S21">
        <f t="shared" si="12"/>
        <v>3.1622776601683783E-4</v>
      </c>
      <c r="T21" s="6">
        <v>4.4640000000000004</v>
      </c>
      <c r="U21" s="3">
        <f t="shared" si="6"/>
        <v>0.40525699623402056</v>
      </c>
      <c r="V21" s="3">
        <v>0.93751990006451447</v>
      </c>
      <c r="W21" s="1">
        <f>(U21-V21)^2</f>
        <v>0.28330379879406958</v>
      </c>
      <c r="X21" s="6"/>
      <c r="Y21" s="3"/>
      <c r="Z21" s="3"/>
      <c r="AA21" s="1"/>
    </row>
    <row r="22" spans="1:33" x14ac:dyDescent="0.3">
      <c r="A22" t="s">
        <v>91</v>
      </c>
      <c r="B22">
        <v>8.9</v>
      </c>
      <c r="C22" s="3">
        <v>3.1281265531939026</v>
      </c>
      <c r="D22" s="3">
        <v>0.54360327776970307</v>
      </c>
      <c r="E22" s="4"/>
      <c r="G22">
        <v>11</v>
      </c>
      <c r="H22" s="6">
        <f t="shared" si="0"/>
        <v>4.1486299394268018</v>
      </c>
      <c r="I22">
        <f t="shared" si="8"/>
        <v>7.1018265398618409E-5</v>
      </c>
      <c r="J22">
        <f t="shared" si="10"/>
        <v>1E-3</v>
      </c>
      <c r="K22" s="6">
        <v>3.5</v>
      </c>
      <c r="L22" s="3">
        <f t="shared" si="11"/>
        <v>0.23208187658933371</v>
      </c>
      <c r="O22" s="1"/>
      <c r="P22">
        <v>11</v>
      </c>
      <c r="Q22" s="6">
        <f t="shared" si="7"/>
        <v>4.5006610319085345</v>
      </c>
      <c r="R22">
        <f t="shared" si="9"/>
        <v>3.157468074792337E-5</v>
      </c>
      <c r="S22">
        <f t="shared" si="12"/>
        <v>1E-3</v>
      </c>
      <c r="T22" s="6">
        <v>4.4640000000000004</v>
      </c>
      <c r="U22" s="3">
        <f t="shared" si="6"/>
        <v>0.13663516320169597</v>
      </c>
      <c r="X22" s="6"/>
      <c r="Y22" s="3"/>
      <c r="Z22" s="3"/>
    </row>
    <row r="23" spans="1:33" x14ac:dyDescent="0.3">
      <c r="B23">
        <v>6.6</v>
      </c>
      <c r="C23" s="3">
        <v>4.7116594971343853</v>
      </c>
      <c r="D23" s="3">
        <v>0.52339255756460834</v>
      </c>
      <c r="F23" s="3">
        <f>AVERAGE(C23:C24)</f>
        <v>4.2963065938057348</v>
      </c>
      <c r="G23">
        <v>11.5</v>
      </c>
      <c r="H23" s="6">
        <f t="shared" si="0"/>
        <v>4.1486299394268018</v>
      </c>
      <c r="I23">
        <f t="shared" si="8"/>
        <v>7.1018265398618409E-5</v>
      </c>
      <c r="J23">
        <f t="shared" si="10"/>
        <v>3.1622776601683764E-3</v>
      </c>
      <c r="K23" s="6">
        <v>3.5</v>
      </c>
      <c r="L23" s="3">
        <f t="shared" si="11"/>
        <v>7.6876331340310577E-2</v>
      </c>
      <c r="N23" s="1"/>
      <c r="P23">
        <v>11.5</v>
      </c>
      <c r="Q23" s="6">
        <f t="shared" si="7"/>
        <v>4.5006610319085345</v>
      </c>
      <c r="R23">
        <f t="shared" si="9"/>
        <v>3.157468074792337E-5</v>
      </c>
      <c r="S23">
        <f t="shared" si="12"/>
        <v>3.1622776601683764E-3</v>
      </c>
      <c r="T23" s="6">
        <v>4.4640000000000004</v>
      </c>
      <c r="U23" s="3">
        <f t="shared" si="6"/>
        <v>4.4131462514103673E-2</v>
      </c>
      <c r="W23" s="1"/>
      <c r="X23" s="6"/>
      <c r="Y23" s="3"/>
      <c r="Z23" s="3"/>
      <c r="AA23" s="1"/>
    </row>
    <row r="24" spans="1:33" x14ac:dyDescent="0.3">
      <c r="A24" t="s">
        <v>96</v>
      </c>
      <c r="B24">
        <v>5.18</v>
      </c>
      <c r="C24" s="3">
        <v>3.8809536904770843</v>
      </c>
      <c r="D24" s="3">
        <v>0.57081517089105271</v>
      </c>
      <c r="G24">
        <v>12</v>
      </c>
      <c r="H24" s="6">
        <f t="shared" si="0"/>
        <v>4.1486299394268018</v>
      </c>
      <c r="I24">
        <f t="shared" si="8"/>
        <v>7.1018265398618409E-5</v>
      </c>
      <c r="J24">
        <f t="shared" si="10"/>
        <v>0.01</v>
      </c>
      <c r="K24" s="6">
        <v>3.5</v>
      </c>
      <c r="L24" s="3">
        <f t="shared" si="11"/>
        <v>2.4681111913893054E-2</v>
      </c>
      <c r="N24" s="5" t="s">
        <v>97</v>
      </c>
      <c r="P24">
        <v>12</v>
      </c>
      <c r="Q24" s="6">
        <f t="shared" si="7"/>
        <v>4.5006610319085345</v>
      </c>
      <c r="R24">
        <f t="shared" si="9"/>
        <v>3.157468074792337E-5</v>
      </c>
      <c r="S24">
        <f t="shared" si="12"/>
        <v>0.01</v>
      </c>
      <c r="T24" s="6">
        <v>4.4640000000000004</v>
      </c>
      <c r="U24" s="3">
        <f t="shared" si="6"/>
        <v>1.4050573249405465E-2</v>
      </c>
      <c r="W24" s="5" t="s">
        <v>97</v>
      </c>
      <c r="X24" s="6"/>
      <c r="Y24" s="3"/>
      <c r="Z24" s="3"/>
      <c r="AA24" s="5"/>
    </row>
    <row r="25" spans="1:33" x14ac:dyDescent="0.3">
      <c r="N25" s="1">
        <f>SUM(N7:N21)</f>
        <v>0.55483785074885572</v>
      </c>
      <c r="W25" s="1">
        <f>SUM(W7:W21)</f>
        <v>0.41552382421656819</v>
      </c>
      <c r="AG25" s="7"/>
    </row>
    <row r="26" spans="1:33" x14ac:dyDescent="0.3">
      <c r="G26" s="5" t="s">
        <v>89</v>
      </c>
      <c r="H26" s="6">
        <v>4.5851864415579584</v>
      </c>
      <c r="I26" s="6" t="s">
        <v>101</v>
      </c>
      <c r="J26" s="6">
        <f>14-H26</f>
        <v>9.4148135584420416</v>
      </c>
      <c r="K26" t="s">
        <v>102</v>
      </c>
      <c r="P26" s="5" t="s">
        <v>89</v>
      </c>
      <c r="Q26" s="6">
        <v>4.617259567875668</v>
      </c>
      <c r="R26" s="6" t="s">
        <v>101</v>
      </c>
      <c r="S26" s="6">
        <f>14-Q26</f>
        <v>9.3827404321243328</v>
      </c>
      <c r="T26" t="s">
        <v>102</v>
      </c>
      <c r="X26" s="6"/>
      <c r="AG26" s="7"/>
    </row>
    <row r="27" spans="1:33" x14ac:dyDescent="0.3">
      <c r="G27" s="14" t="s">
        <v>69</v>
      </c>
      <c r="H27" s="14"/>
      <c r="I27" s="14"/>
      <c r="J27" s="14"/>
      <c r="K27" s="14"/>
      <c r="L27" s="14"/>
      <c r="M27" s="14"/>
      <c r="N27" s="14"/>
      <c r="O27" s="8"/>
      <c r="P27" s="14" t="s">
        <v>67</v>
      </c>
      <c r="Q27" s="14"/>
      <c r="R27" s="14"/>
      <c r="S27" s="14"/>
      <c r="T27" s="14"/>
      <c r="U27" s="14"/>
      <c r="V27" s="14"/>
      <c r="W27" s="14"/>
      <c r="X27" s="8"/>
      <c r="Y27" s="8"/>
      <c r="Z27" s="8"/>
      <c r="AA27" s="8"/>
      <c r="AB27" s="8"/>
      <c r="AC27" s="8"/>
      <c r="AD27" s="8"/>
      <c r="AE27" s="8"/>
    </row>
    <row r="28" spans="1:33" x14ac:dyDescent="0.3">
      <c r="G28" t="s">
        <v>65</v>
      </c>
      <c r="H28" t="s">
        <v>99</v>
      </c>
      <c r="I28" t="s">
        <v>100</v>
      </c>
      <c r="J28" t="s">
        <v>98</v>
      </c>
      <c r="K28" t="s">
        <v>92</v>
      </c>
      <c r="L28" t="s">
        <v>93</v>
      </c>
      <c r="M28" t="s">
        <v>94</v>
      </c>
      <c r="N28" t="s">
        <v>95</v>
      </c>
      <c r="O28" s="1"/>
      <c r="P28" t="s">
        <v>65</v>
      </c>
      <c r="Q28" t="s">
        <v>99</v>
      </c>
      <c r="R28" t="s">
        <v>100</v>
      </c>
      <c r="S28" t="s">
        <v>98</v>
      </c>
      <c r="T28" t="s">
        <v>92</v>
      </c>
      <c r="U28" t="s">
        <v>93</v>
      </c>
      <c r="V28" t="s">
        <v>94</v>
      </c>
      <c r="W28" t="s">
        <v>95</v>
      </c>
    </row>
    <row r="29" spans="1:33" x14ac:dyDescent="0.3">
      <c r="G29">
        <v>2</v>
      </c>
      <c r="H29" s="6">
        <f>$H$26</f>
        <v>4.5851864415579584</v>
      </c>
      <c r="I29">
        <f t="shared" ref="I29:I31" si="13">10^-H29</f>
        <v>2.5990435605955356E-5</v>
      </c>
      <c r="J29">
        <f t="shared" ref="J29:J31" si="14">10^-(14-G29)</f>
        <v>9.9999999999999998E-13</v>
      </c>
      <c r="K29" s="6">
        <v>8.141</v>
      </c>
      <c r="L29" s="3">
        <f t="shared" ref="L29:L31" si="15">$K29*(I29/(I29+J29))</f>
        <v>8.140999686769403</v>
      </c>
      <c r="O29" s="1"/>
      <c r="P29">
        <v>2</v>
      </c>
      <c r="Q29" s="6">
        <f>$Q$26</f>
        <v>4.617259567875668</v>
      </c>
      <c r="R29">
        <f t="shared" ref="R29:R31" si="16">10^-Q29</f>
        <v>2.4140176001042298E-5</v>
      </c>
      <c r="S29">
        <f t="shared" ref="S29:S31" si="17">10^-(14-P29)</f>
        <v>9.9999999999999998E-13</v>
      </c>
      <c r="T29" s="6">
        <v>4.4000000000000004</v>
      </c>
      <c r="U29" s="3">
        <f t="shared" ref="U29:U30" si="18">$T29*(R29/(R29+S29))</f>
        <v>4.3999998177312456</v>
      </c>
      <c r="X29" s="6"/>
      <c r="AB29" s="6"/>
      <c r="AC29" s="6"/>
      <c r="AD29" s="6"/>
      <c r="AE29" s="3"/>
      <c r="AF29" s="3"/>
      <c r="AG29" s="1"/>
    </row>
    <row r="30" spans="1:33" x14ac:dyDescent="0.3">
      <c r="G30">
        <v>2.5</v>
      </c>
      <c r="H30" s="6">
        <f t="shared" ref="H30:H49" si="19">$H$26</f>
        <v>4.5851864415579584</v>
      </c>
      <c r="I30">
        <f t="shared" si="13"/>
        <v>2.5990435605955356E-5</v>
      </c>
      <c r="J30">
        <f t="shared" si="14"/>
        <v>3.1622776601683669E-12</v>
      </c>
      <c r="K30" s="6">
        <v>8.141</v>
      </c>
      <c r="L30" s="3">
        <f t="shared" si="15"/>
        <v>8.1409990094779605</v>
      </c>
      <c r="O30" s="1"/>
      <c r="P30">
        <v>2.5</v>
      </c>
      <c r="Q30" s="6">
        <f t="shared" ref="Q30:Q49" si="20">$Q$26</f>
        <v>4.617259567875668</v>
      </c>
      <c r="R30">
        <f t="shared" si="16"/>
        <v>2.4140176001042298E-5</v>
      </c>
      <c r="S30">
        <f t="shared" si="17"/>
        <v>3.1622776601683669E-12</v>
      </c>
      <c r="T30" s="6">
        <v>4.4000000000000004</v>
      </c>
      <c r="U30" s="3">
        <f t="shared" si="18"/>
        <v>4.3999994236156406</v>
      </c>
      <c r="X30" s="6"/>
      <c r="AB30" s="6"/>
      <c r="AC30" s="6"/>
      <c r="AD30" s="6"/>
      <c r="AE30" s="3"/>
      <c r="AF30" s="3"/>
    </row>
    <row r="31" spans="1:33" x14ac:dyDescent="0.3">
      <c r="G31">
        <v>3</v>
      </c>
      <c r="H31" s="6">
        <f t="shared" si="19"/>
        <v>4.5851864415579584</v>
      </c>
      <c r="I31">
        <f t="shared" si="13"/>
        <v>2.5990435605955356E-5</v>
      </c>
      <c r="J31">
        <f t="shared" si="14"/>
        <v>9.9999999999999994E-12</v>
      </c>
      <c r="K31" s="6">
        <v>8.141</v>
      </c>
      <c r="L31" s="3">
        <f t="shared" si="15"/>
        <v>8.1409968676951046</v>
      </c>
      <c r="O31" s="1"/>
      <c r="P31">
        <v>3</v>
      </c>
      <c r="Q31" s="6">
        <f t="shared" si="20"/>
        <v>4.617259567875668</v>
      </c>
      <c r="R31">
        <f t="shared" si="16"/>
        <v>2.4140176001042298E-5</v>
      </c>
      <c r="S31">
        <f t="shared" si="17"/>
        <v>9.9999999999999994E-12</v>
      </c>
      <c r="T31" s="6">
        <v>4.4000000000000004</v>
      </c>
      <c r="U31" s="3">
        <f>$T31*(R31/(R31+S31))</f>
        <v>4.3999981773131331</v>
      </c>
      <c r="X31" s="6"/>
      <c r="AB31" s="6"/>
      <c r="AC31" s="6"/>
      <c r="AD31" s="6"/>
      <c r="AE31" s="3"/>
      <c r="AF31" s="3"/>
    </row>
    <row r="32" spans="1:33" x14ac:dyDescent="0.3">
      <c r="G32">
        <v>3.5</v>
      </c>
      <c r="H32" s="6">
        <f t="shared" si="19"/>
        <v>4.5851864415579584</v>
      </c>
      <c r="I32">
        <f t="shared" ref="I32:I49" si="21">10^-H32</f>
        <v>2.5990435605955356E-5</v>
      </c>
      <c r="J32">
        <f>10^-(14-G32)</f>
        <v>3.162277660168371E-11</v>
      </c>
      <c r="K32" s="6">
        <v>8.141</v>
      </c>
      <c r="L32" s="3">
        <f>$K32*(I32/(I32+J32))</f>
        <v>8.1409900947904461</v>
      </c>
      <c r="M32" s="3"/>
      <c r="N32" s="1"/>
      <c r="P32">
        <v>3.5</v>
      </c>
      <c r="Q32" s="6">
        <f t="shared" si="20"/>
        <v>4.617259567875668</v>
      </c>
      <c r="R32">
        <f t="shared" ref="R32:R49" si="22">10^-Q32</f>
        <v>2.4140176001042298E-5</v>
      </c>
      <c r="S32">
        <f>10^-(14-P32)</f>
        <v>3.162277660168371E-11</v>
      </c>
      <c r="T32" s="6">
        <v>4.4000000000000004</v>
      </c>
      <c r="U32" s="3">
        <f t="shared" ref="U32:U49" si="23">$T32*(R32/(R32+S32))</f>
        <v>4.3999942361632014</v>
      </c>
      <c r="V32" s="3"/>
      <c r="W32" s="1"/>
      <c r="X32" s="6"/>
      <c r="AB32" s="6"/>
      <c r="AC32" s="6"/>
      <c r="AD32" s="6"/>
      <c r="AE32" s="3"/>
      <c r="AF32" s="3"/>
      <c r="AG32" s="1"/>
    </row>
    <row r="33" spans="7:33" x14ac:dyDescent="0.3">
      <c r="G33">
        <v>4</v>
      </c>
      <c r="H33" s="6">
        <f t="shared" si="19"/>
        <v>4.5851864415579584</v>
      </c>
      <c r="I33">
        <f t="shared" si="21"/>
        <v>2.5990435605955356E-5</v>
      </c>
      <c r="J33">
        <f t="shared" ref="J33:J49" si="24">10^-(14-G33)</f>
        <v>1E-10</v>
      </c>
      <c r="K33" s="6">
        <v>8.141</v>
      </c>
      <c r="L33" s="3">
        <f t="shared" ref="L33:L49" si="25">$K33*(I33/(I33+J33))</f>
        <v>8.1409686770595133</v>
      </c>
      <c r="M33" s="3"/>
      <c r="P33">
        <v>4</v>
      </c>
      <c r="Q33" s="6">
        <f t="shared" si="20"/>
        <v>4.617259567875668</v>
      </c>
      <c r="R33">
        <f t="shared" si="22"/>
        <v>2.4140176001042298E-5</v>
      </c>
      <c r="S33">
        <f t="shared" ref="S33:S49" si="26">10^-(14-P33)</f>
        <v>1E-10</v>
      </c>
      <c r="T33" s="6">
        <v>4.4000000000000004</v>
      </c>
      <c r="U33" s="3">
        <f t="shared" si="23"/>
        <v>4.3999817731992801</v>
      </c>
      <c r="V33" s="3"/>
      <c r="X33" s="6"/>
      <c r="AB33" s="6"/>
      <c r="AC33" s="6"/>
      <c r="AD33" s="6"/>
      <c r="AE33" s="3"/>
      <c r="AF33" s="3"/>
    </row>
    <row r="34" spans="7:33" x14ac:dyDescent="0.3">
      <c r="G34">
        <v>4.5</v>
      </c>
      <c r="H34" s="6">
        <f t="shared" si="19"/>
        <v>4.5851864415579584</v>
      </c>
      <c r="I34">
        <f t="shared" si="21"/>
        <v>2.5990435605955356E-5</v>
      </c>
      <c r="J34">
        <f t="shared" si="24"/>
        <v>3.1622776601683744E-10</v>
      </c>
      <c r="K34" s="6">
        <v>8.141</v>
      </c>
      <c r="L34" s="3">
        <f t="shared" si="25"/>
        <v>8.1409009489891027</v>
      </c>
      <c r="M34" s="3"/>
      <c r="O34" s="1"/>
      <c r="P34">
        <v>4.5</v>
      </c>
      <c r="Q34" s="6">
        <f t="shared" si="20"/>
        <v>4.617259567875668</v>
      </c>
      <c r="R34">
        <f t="shared" si="22"/>
        <v>2.4140176001042298E-5</v>
      </c>
      <c r="S34">
        <f t="shared" si="26"/>
        <v>3.1622776601683744E-10</v>
      </c>
      <c r="T34" s="6">
        <v>4.4000000000000004</v>
      </c>
      <c r="U34" s="3">
        <f t="shared" si="23"/>
        <v>4.3999423623115357</v>
      </c>
      <c r="V34" s="3"/>
      <c r="X34" s="6"/>
      <c r="AB34" s="6"/>
      <c r="AC34" s="6"/>
      <c r="AD34" s="6"/>
      <c r="AE34" s="3"/>
      <c r="AF34" s="3"/>
    </row>
    <row r="35" spans="7:33" x14ac:dyDescent="0.3">
      <c r="G35">
        <v>5</v>
      </c>
      <c r="H35" s="6">
        <f t="shared" si="19"/>
        <v>4.5851864415579584</v>
      </c>
      <c r="I35">
        <f t="shared" si="21"/>
        <v>2.5990435605955356E-5</v>
      </c>
      <c r="J35">
        <f t="shared" si="24"/>
        <v>1.0000000000000001E-9</v>
      </c>
      <c r="K35" s="6">
        <v>8.141</v>
      </c>
      <c r="L35" s="3">
        <f t="shared" si="25"/>
        <v>8.1406867814412625</v>
      </c>
      <c r="M35" s="3">
        <v>8.141296817170808</v>
      </c>
      <c r="N35" s="1">
        <f>(L35-M35)^2</f>
        <v>3.7214359132216395E-7</v>
      </c>
      <c r="P35">
        <v>5</v>
      </c>
      <c r="Q35" s="6">
        <f t="shared" si="20"/>
        <v>4.617259567875668</v>
      </c>
      <c r="R35">
        <f t="shared" si="22"/>
        <v>2.4140176001042298E-5</v>
      </c>
      <c r="S35">
        <f t="shared" si="26"/>
        <v>1.0000000000000001E-9</v>
      </c>
      <c r="T35" s="6">
        <v>4.4000000000000004</v>
      </c>
      <c r="U35" s="3">
        <f t="shared" si="23"/>
        <v>4.3998177387878785</v>
      </c>
      <c r="V35" s="3">
        <v>3.8809536904770843</v>
      </c>
      <c r="W35" s="1">
        <f>(U35-V35)^2</f>
        <v>0.26921990062946621</v>
      </c>
      <c r="X35" s="6"/>
      <c r="Y35" s="3"/>
      <c r="AB35" s="6"/>
      <c r="AC35" s="6"/>
      <c r="AD35" s="6"/>
      <c r="AE35" s="3"/>
      <c r="AF35" s="3"/>
    </row>
    <row r="36" spans="7:33" x14ac:dyDescent="0.3">
      <c r="G36">
        <v>5.5</v>
      </c>
      <c r="H36" s="6">
        <f t="shared" si="19"/>
        <v>4.5851864415579584</v>
      </c>
      <c r="I36">
        <f t="shared" si="21"/>
        <v>2.5990435605955356E-5</v>
      </c>
      <c r="J36">
        <f t="shared" si="24"/>
        <v>3.1622776601683779E-9</v>
      </c>
      <c r="K36" s="6">
        <v>8.141</v>
      </c>
      <c r="L36" s="3">
        <f t="shared" si="25"/>
        <v>8.140009598342381</v>
      </c>
      <c r="M36" s="3"/>
      <c r="P36">
        <v>5.5</v>
      </c>
      <c r="Q36" s="6">
        <f t="shared" si="20"/>
        <v>4.617259567875668</v>
      </c>
      <c r="R36">
        <f t="shared" si="22"/>
        <v>2.4140176001042298E-5</v>
      </c>
      <c r="S36">
        <f t="shared" si="26"/>
        <v>3.1622776601683779E-9</v>
      </c>
      <c r="T36" s="6">
        <v>4.4000000000000004</v>
      </c>
      <c r="U36" s="3">
        <f t="shared" si="23"/>
        <v>4.3994236910594502</v>
      </c>
      <c r="V36" s="3"/>
      <c r="X36" s="6"/>
      <c r="Y36" s="3"/>
      <c r="AB36" s="6"/>
      <c r="AC36" s="6"/>
      <c r="AD36" s="6"/>
      <c r="AE36" s="3"/>
      <c r="AF36" s="3"/>
      <c r="AG36" s="1"/>
    </row>
    <row r="37" spans="7:33" x14ac:dyDescent="0.3">
      <c r="G37">
        <v>6</v>
      </c>
      <c r="H37" s="6">
        <f t="shared" si="19"/>
        <v>4.5851864415579584</v>
      </c>
      <c r="I37">
        <f t="shared" si="21"/>
        <v>2.5990435605955356E-5</v>
      </c>
      <c r="J37">
        <f t="shared" si="24"/>
        <v>1E-8</v>
      </c>
      <c r="K37" s="6">
        <v>8.141</v>
      </c>
      <c r="L37" s="3">
        <f t="shared" si="25"/>
        <v>8.1378688986125542</v>
      </c>
      <c r="M37" s="3"/>
      <c r="P37">
        <v>6</v>
      </c>
      <c r="Q37" s="6">
        <f t="shared" si="20"/>
        <v>4.617259567875668</v>
      </c>
      <c r="R37">
        <f t="shared" si="22"/>
        <v>2.4140176001042298E-5</v>
      </c>
      <c r="S37">
        <f t="shared" si="26"/>
        <v>1E-8</v>
      </c>
      <c r="T37" s="6">
        <v>4.4000000000000004</v>
      </c>
      <c r="U37" s="3">
        <f t="shared" si="23"/>
        <v>4.3981780671081614</v>
      </c>
      <c r="V37" s="3"/>
      <c r="X37" s="6"/>
      <c r="Y37" s="3"/>
      <c r="AB37" s="6"/>
      <c r="AC37" s="6"/>
      <c r="AD37" s="6"/>
      <c r="AE37" s="3"/>
      <c r="AF37" s="3"/>
    </row>
    <row r="38" spans="7:33" x14ac:dyDescent="0.3">
      <c r="G38">
        <v>6.5</v>
      </c>
      <c r="H38" s="6">
        <f t="shared" si="19"/>
        <v>4.5851864415579584</v>
      </c>
      <c r="I38">
        <f t="shared" si="21"/>
        <v>2.5990435605955356E-5</v>
      </c>
      <c r="J38">
        <f t="shared" si="24"/>
        <v>3.1622776601683699E-8</v>
      </c>
      <c r="K38" s="6">
        <v>8.141</v>
      </c>
      <c r="L38" s="3">
        <f t="shared" si="25"/>
        <v>8.1311068155128385</v>
      </c>
      <c r="M38" s="3"/>
      <c r="O38" s="1"/>
      <c r="P38">
        <v>6.5</v>
      </c>
      <c r="Q38" s="6">
        <f t="shared" si="20"/>
        <v>4.617259567875668</v>
      </c>
      <c r="R38">
        <f t="shared" si="22"/>
        <v>2.4140176001042298E-5</v>
      </c>
      <c r="S38">
        <f t="shared" si="26"/>
        <v>3.1622776601683699E-8</v>
      </c>
      <c r="T38" s="6">
        <v>4.4000000000000004</v>
      </c>
      <c r="U38" s="3">
        <f t="shared" si="23"/>
        <v>4.3942436962045166</v>
      </c>
      <c r="V38" s="3"/>
      <c r="X38" s="6"/>
      <c r="Y38" s="3"/>
      <c r="AB38" s="6"/>
      <c r="AC38" s="6"/>
      <c r="AD38" s="6"/>
      <c r="AE38" s="3"/>
      <c r="AF38" s="3"/>
    </row>
    <row r="39" spans="7:33" x14ac:dyDescent="0.3">
      <c r="G39">
        <v>7</v>
      </c>
      <c r="H39" s="6">
        <f t="shared" si="19"/>
        <v>4.5851864415579584</v>
      </c>
      <c r="I39">
        <f t="shared" si="21"/>
        <v>2.5990435605955356E-5</v>
      </c>
      <c r="J39">
        <f t="shared" si="24"/>
        <v>9.9999999999999995E-8</v>
      </c>
      <c r="K39" s="6">
        <v>8.141</v>
      </c>
      <c r="L39" s="3">
        <f t="shared" si="25"/>
        <v>8.109796994718856</v>
      </c>
      <c r="M39" s="3">
        <v>7.8427619179033368</v>
      </c>
      <c r="N39" s="1">
        <f>(L39-M39)^2</f>
        <v>7.1307732249870234E-2</v>
      </c>
      <c r="P39">
        <v>7</v>
      </c>
      <c r="Q39" s="6">
        <f t="shared" si="20"/>
        <v>4.617259567875668</v>
      </c>
      <c r="R39">
        <f t="shared" si="22"/>
        <v>2.4140176001042298E-5</v>
      </c>
      <c r="S39">
        <f t="shared" si="26"/>
        <v>9.9999999999999995E-8</v>
      </c>
      <c r="T39" s="6">
        <v>4.4000000000000004</v>
      </c>
      <c r="U39" s="3">
        <f t="shared" si="23"/>
        <v>4.3818483166136639</v>
      </c>
      <c r="V39" s="3">
        <v>4.7116594971343853</v>
      </c>
      <c r="W39" s="1">
        <f>(U39-V39)^2</f>
        <v>0.10877541479647183</v>
      </c>
      <c r="X39" s="6"/>
      <c r="Y39" s="3"/>
      <c r="AB39" s="6"/>
      <c r="AC39" s="6"/>
      <c r="AD39" s="6"/>
      <c r="AE39" s="3"/>
      <c r="AF39" s="3"/>
    </row>
    <row r="40" spans="7:33" x14ac:dyDescent="0.3">
      <c r="G40">
        <v>7.5</v>
      </c>
      <c r="H40" s="6">
        <f t="shared" si="19"/>
        <v>4.5851864415579584</v>
      </c>
      <c r="I40">
        <f t="shared" si="21"/>
        <v>2.5990435605955356E-5</v>
      </c>
      <c r="J40">
        <f t="shared" si="24"/>
        <v>3.1622776601683734E-7</v>
      </c>
      <c r="K40" s="6">
        <v>8.141</v>
      </c>
      <c r="L40" s="3">
        <f t="shared" si="25"/>
        <v>8.0431384731791606</v>
      </c>
      <c r="M40" s="3"/>
      <c r="P40">
        <v>7.5</v>
      </c>
      <c r="Q40" s="6">
        <f t="shared" si="20"/>
        <v>4.617259567875668</v>
      </c>
      <c r="R40">
        <f t="shared" si="22"/>
        <v>2.4140176001042298E-5</v>
      </c>
      <c r="S40">
        <f t="shared" si="26"/>
        <v>3.1622776601683734E-7</v>
      </c>
      <c r="T40" s="6">
        <v>4.4000000000000004</v>
      </c>
      <c r="U40" s="3">
        <f t="shared" si="23"/>
        <v>4.3431068368135062</v>
      </c>
      <c r="V40" s="3"/>
      <c r="X40" s="6"/>
      <c r="AB40" s="6"/>
      <c r="AC40" s="6"/>
      <c r="AD40" s="6"/>
      <c r="AE40" s="3"/>
      <c r="AF40" s="3"/>
      <c r="AG40" s="1"/>
    </row>
    <row r="41" spans="7:33" x14ac:dyDescent="0.3">
      <c r="G41">
        <v>8</v>
      </c>
      <c r="H41" s="6">
        <f t="shared" si="19"/>
        <v>4.5851864415579584</v>
      </c>
      <c r="I41">
        <f t="shared" si="21"/>
        <v>2.5990435605955356E-5</v>
      </c>
      <c r="J41">
        <f t="shared" si="24"/>
        <v>9.9999999999999995E-7</v>
      </c>
      <c r="K41" s="6">
        <v>8.141</v>
      </c>
      <c r="L41" s="3">
        <f t="shared" si="25"/>
        <v>7.8393746346723017</v>
      </c>
      <c r="M41" s="3"/>
      <c r="P41">
        <v>8</v>
      </c>
      <c r="Q41" s="6">
        <f t="shared" si="20"/>
        <v>4.617259567875668</v>
      </c>
      <c r="R41">
        <f t="shared" si="22"/>
        <v>2.4140176001042298E-5</v>
      </c>
      <c r="S41">
        <f t="shared" si="26"/>
        <v>9.9999999999999995E-7</v>
      </c>
      <c r="T41" s="6">
        <v>4.4000000000000004</v>
      </c>
      <c r="U41" s="3">
        <f t="shared" si="23"/>
        <v>4.2249813366534283</v>
      </c>
      <c r="V41" s="3"/>
      <c r="X41" s="6"/>
      <c r="AB41" s="6"/>
      <c r="AC41" s="6"/>
      <c r="AD41" s="6"/>
      <c r="AE41" s="3"/>
      <c r="AF41" s="3"/>
    </row>
    <row r="42" spans="7:33" x14ac:dyDescent="0.3">
      <c r="G42">
        <v>8.5</v>
      </c>
      <c r="H42" s="6">
        <f t="shared" si="19"/>
        <v>4.5851864415579584</v>
      </c>
      <c r="I42">
        <f t="shared" si="21"/>
        <v>2.5990435605955356E-5</v>
      </c>
      <c r="J42">
        <f t="shared" si="24"/>
        <v>3.1622776601683767E-6</v>
      </c>
      <c r="K42" s="6">
        <v>8.141</v>
      </c>
      <c r="L42" s="3">
        <f t="shared" si="25"/>
        <v>7.2579225932275016</v>
      </c>
      <c r="M42" s="3"/>
      <c r="O42" s="1"/>
      <c r="P42">
        <v>8.5</v>
      </c>
      <c r="Q42" s="6">
        <f t="shared" si="20"/>
        <v>4.617259567875668</v>
      </c>
      <c r="R42">
        <f t="shared" si="22"/>
        <v>2.4140176001042298E-5</v>
      </c>
      <c r="S42">
        <f t="shared" si="26"/>
        <v>3.1622776601683767E-6</v>
      </c>
      <c r="T42" s="6">
        <v>4.4000000000000004</v>
      </c>
      <c r="U42" s="3">
        <f t="shared" si="23"/>
        <v>3.8903746792359226</v>
      </c>
      <c r="V42" s="3"/>
      <c r="X42" s="6"/>
      <c r="AB42" s="6"/>
      <c r="AC42" s="6"/>
      <c r="AD42" s="6"/>
      <c r="AE42" s="3"/>
      <c r="AF42" s="3"/>
      <c r="AG42" s="1"/>
    </row>
    <row r="43" spans="7:33" x14ac:dyDescent="0.3">
      <c r="G43">
        <v>9</v>
      </c>
      <c r="H43" s="6">
        <f t="shared" si="19"/>
        <v>4.5851864415579584</v>
      </c>
      <c r="I43">
        <f t="shared" si="21"/>
        <v>2.5990435605955356E-5</v>
      </c>
      <c r="J43">
        <f t="shared" si="24"/>
        <v>1.0000000000000001E-5</v>
      </c>
      <c r="K43" s="6">
        <v>8.141</v>
      </c>
      <c r="L43" s="3">
        <f t="shared" si="25"/>
        <v>5.8790101510488793</v>
      </c>
      <c r="M43" s="3">
        <v>6.5318043167722823</v>
      </c>
      <c r="N43" s="1">
        <f>(L43-M43)^2</f>
        <v>0.42614022280251385</v>
      </c>
      <c r="P43">
        <v>9</v>
      </c>
      <c r="Q43" s="6">
        <f t="shared" si="20"/>
        <v>4.617259567875668</v>
      </c>
      <c r="R43">
        <f t="shared" si="22"/>
        <v>2.4140176001042298E-5</v>
      </c>
      <c r="S43">
        <f t="shared" si="26"/>
        <v>1.0000000000000001E-5</v>
      </c>
      <c r="T43" s="6">
        <v>4.4000000000000004</v>
      </c>
      <c r="U43" s="3">
        <f t="shared" si="23"/>
        <v>3.1111958649932947</v>
      </c>
      <c r="V43" s="3">
        <v>3.1281265531939026</v>
      </c>
      <c r="W43" s="1">
        <f>(U43-V43)^2</f>
        <v>2.8664820294620511E-4</v>
      </c>
      <c r="X43" s="6"/>
      <c r="AB43" s="6"/>
      <c r="AC43" s="6"/>
      <c r="AD43" s="6"/>
      <c r="AE43" s="3"/>
      <c r="AF43" s="3"/>
      <c r="AG43" s="1"/>
    </row>
    <row r="44" spans="7:33" x14ac:dyDescent="0.3">
      <c r="G44">
        <v>9.5</v>
      </c>
      <c r="H44" s="6">
        <f t="shared" si="19"/>
        <v>4.5851864415579584</v>
      </c>
      <c r="I44">
        <f t="shared" si="21"/>
        <v>2.5990435605955356E-5</v>
      </c>
      <c r="J44">
        <f t="shared" si="24"/>
        <v>3.1622776601683748E-5</v>
      </c>
      <c r="K44" s="6">
        <v>8.141</v>
      </c>
      <c r="L44" s="3">
        <f t="shared" si="25"/>
        <v>3.6725627362264563</v>
      </c>
      <c r="M44" s="3"/>
      <c r="O44" s="1"/>
      <c r="P44">
        <v>9.5</v>
      </c>
      <c r="Q44" s="6">
        <f t="shared" si="20"/>
        <v>4.617259567875668</v>
      </c>
      <c r="R44">
        <f t="shared" si="22"/>
        <v>2.4140176001042298E-5</v>
      </c>
      <c r="S44">
        <f t="shared" si="26"/>
        <v>3.1622776601683748E-5</v>
      </c>
      <c r="T44" s="6">
        <v>4.4000000000000004</v>
      </c>
      <c r="U44" s="3">
        <f t="shared" si="23"/>
        <v>1.9047910744847032</v>
      </c>
      <c r="V44" s="3"/>
      <c r="X44" s="6"/>
      <c r="AB44" s="6"/>
      <c r="AC44" s="6"/>
      <c r="AD44" s="6"/>
      <c r="AE44" s="3"/>
      <c r="AF44" s="3"/>
    </row>
    <row r="45" spans="7:33" x14ac:dyDescent="0.3">
      <c r="G45">
        <v>10</v>
      </c>
      <c r="H45" s="6">
        <f t="shared" si="19"/>
        <v>4.5851864415579584</v>
      </c>
      <c r="I45">
        <f t="shared" si="21"/>
        <v>2.5990435605955356E-5</v>
      </c>
      <c r="J45">
        <f t="shared" si="24"/>
        <v>1E-4</v>
      </c>
      <c r="K45" s="6">
        <v>8.141</v>
      </c>
      <c r="L45" s="3">
        <f t="shared" si="25"/>
        <v>1.6793984023504807</v>
      </c>
      <c r="M45" s="3">
        <v>0.70388389194214707</v>
      </c>
      <c r="N45" s="1">
        <f>(L45-M45)^2</f>
        <v>0.95162856001721075</v>
      </c>
      <c r="O45" s="1"/>
      <c r="P45">
        <v>10</v>
      </c>
      <c r="Q45" s="6">
        <f t="shared" si="20"/>
        <v>4.617259567875668</v>
      </c>
      <c r="R45">
        <f t="shared" si="22"/>
        <v>2.4140176001042298E-5</v>
      </c>
      <c r="S45">
        <f t="shared" si="26"/>
        <v>1E-4</v>
      </c>
      <c r="T45" s="6">
        <v>4.4000000000000004</v>
      </c>
      <c r="U45" s="3">
        <f t="shared" si="23"/>
        <v>0.85561965373477722</v>
      </c>
      <c r="V45" s="3">
        <v>0.51919112916081378</v>
      </c>
      <c r="W45" s="1">
        <f>(U45-V45)^2</f>
        <v>0.11318415214701393</v>
      </c>
      <c r="X45" s="6"/>
      <c r="AB45" s="6"/>
      <c r="AC45" s="6"/>
      <c r="AD45" s="6"/>
      <c r="AE45" s="3"/>
      <c r="AF45" s="3"/>
      <c r="AG45" s="1"/>
    </row>
    <row r="46" spans="7:33" x14ac:dyDescent="0.3">
      <c r="G46">
        <v>10.5</v>
      </c>
      <c r="H46" s="6">
        <f t="shared" si="19"/>
        <v>4.5851864415579584</v>
      </c>
      <c r="I46">
        <f t="shared" si="21"/>
        <v>2.5990435605955356E-5</v>
      </c>
      <c r="J46">
        <f t="shared" si="24"/>
        <v>3.1622776601683783E-4</v>
      </c>
      <c r="K46" s="6">
        <v>8.141</v>
      </c>
      <c r="L46" s="3">
        <f t="shared" si="25"/>
        <v>0.61828428547849013</v>
      </c>
      <c r="M46" s="3">
        <v>0.66494455725508628</v>
      </c>
      <c r="N46" s="1">
        <f>(L46-M46)^2</f>
        <v>2.1771809622658156E-3</v>
      </c>
      <c r="P46">
        <v>10.5</v>
      </c>
      <c r="Q46" s="6">
        <f t="shared" si="20"/>
        <v>4.617259567875668</v>
      </c>
      <c r="R46">
        <f t="shared" si="22"/>
        <v>2.4140176001042298E-5</v>
      </c>
      <c r="S46">
        <f t="shared" si="26"/>
        <v>3.1622776601683783E-4</v>
      </c>
      <c r="T46" s="6">
        <v>4.4000000000000004</v>
      </c>
      <c r="U46" s="3">
        <f t="shared" si="23"/>
        <v>0.31206456687688394</v>
      </c>
      <c r="V46" s="3">
        <v>1.0383822583216278</v>
      </c>
      <c r="W46" s="1">
        <f>(U46-V46)^2</f>
        <v>0.52753738890562207</v>
      </c>
      <c r="X46" s="6"/>
      <c r="AB46" s="6"/>
      <c r="AC46" s="6"/>
      <c r="AD46" s="6"/>
      <c r="AE46" s="3"/>
      <c r="AF46" s="3"/>
      <c r="AG46" s="5"/>
    </row>
    <row r="47" spans="7:33" x14ac:dyDescent="0.3">
      <c r="G47">
        <v>11</v>
      </c>
      <c r="H47" s="6">
        <f t="shared" si="19"/>
        <v>4.5851864415579584</v>
      </c>
      <c r="I47">
        <f t="shared" si="21"/>
        <v>2.5990435605955356E-5</v>
      </c>
      <c r="J47">
        <f t="shared" si="24"/>
        <v>1E-3</v>
      </c>
      <c r="K47" s="6">
        <v>8.141</v>
      </c>
      <c r="L47" s="3">
        <f t="shared" si="25"/>
        <v>0.20622817613608405</v>
      </c>
      <c r="O47" s="1"/>
      <c r="P47">
        <v>11</v>
      </c>
      <c r="Q47" s="6">
        <f t="shared" si="20"/>
        <v>4.617259567875668</v>
      </c>
      <c r="R47">
        <f t="shared" si="22"/>
        <v>2.4140176001042298E-5</v>
      </c>
      <c r="S47">
        <f t="shared" si="26"/>
        <v>1E-3</v>
      </c>
      <c r="T47" s="6">
        <v>4.4000000000000004</v>
      </c>
      <c r="U47" s="3">
        <f t="shared" si="23"/>
        <v>0.10371312140036387</v>
      </c>
      <c r="AG47" s="7"/>
    </row>
    <row r="48" spans="7:33" x14ac:dyDescent="0.3">
      <c r="G48">
        <v>11.5</v>
      </c>
      <c r="H48" s="6">
        <f t="shared" si="19"/>
        <v>4.5851864415579584</v>
      </c>
      <c r="I48">
        <f t="shared" si="21"/>
        <v>2.5990435605955356E-5</v>
      </c>
      <c r="J48">
        <f t="shared" si="24"/>
        <v>3.1622776601683764E-3</v>
      </c>
      <c r="K48" s="6">
        <v>8.141</v>
      </c>
      <c r="L48" s="3">
        <f t="shared" si="25"/>
        <v>6.6364599811577107E-2</v>
      </c>
      <c r="N48" s="1"/>
      <c r="P48">
        <v>11.5</v>
      </c>
      <c r="Q48" s="6">
        <f t="shared" si="20"/>
        <v>4.617259567875668</v>
      </c>
      <c r="R48">
        <f t="shared" si="22"/>
        <v>2.4140176001042298E-5</v>
      </c>
      <c r="S48">
        <f t="shared" si="26"/>
        <v>3.1622776601683764E-3</v>
      </c>
      <c r="T48" s="6">
        <v>4.4000000000000004</v>
      </c>
      <c r="U48" s="3">
        <f t="shared" si="23"/>
        <v>3.3334226666354459E-2</v>
      </c>
      <c r="W48" s="1"/>
    </row>
    <row r="49" spans="7:23" x14ac:dyDescent="0.3">
      <c r="G49">
        <v>12</v>
      </c>
      <c r="H49" s="6">
        <f t="shared" si="19"/>
        <v>4.5851864415579584</v>
      </c>
      <c r="I49">
        <f t="shared" si="21"/>
        <v>2.5990435605955356E-5</v>
      </c>
      <c r="J49">
        <f t="shared" si="24"/>
        <v>0.01</v>
      </c>
      <c r="K49" s="6">
        <v>8.141</v>
      </c>
      <c r="L49" s="3">
        <f t="shared" si="25"/>
        <v>2.1103963506354021E-2</v>
      </c>
      <c r="N49" s="5" t="s">
        <v>97</v>
      </c>
      <c r="P49">
        <v>12</v>
      </c>
      <c r="Q49" s="6">
        <f t="shared" si="20"/>
        <v>4.617259567875668</v>
      </c>
      <c r="R49">
        <f t="shared" si="22"/>
        <v>2.4140176001042298E-5</v>
      </c>
      <c r="S49">
        <f t="shared" si="26"/>
        <v>0.01</v>
      </c>
      <c r="T49" s="6">
        <v>4.4000000000000004</v>
      </c>
      <c r="U49" s="3">
        <f t="shared" si="23"/>
        <v>1.0596098272735794E-2</v>
      </c>
      <c r="W49" s="5" t="s">
        <v>97</v>
      </c>
    </row>
    <row r="50" spans="7:23" x14ac:dyDescent="0.3">
      <c r="N50" s="1">
        <f>SUM(N32:N46)</f>
        <v>1.451254068175452</v>
      </c>
      <c r="W50" s="1">
        <f>SUM(W32:W46)</f>
        <v>1.0190035046815202</v>
      </c>
    </row>
  </sheetData>
  <mergeCells count="8">
    <mergeCell ref="G2:N2"/>
    <mergeCell ref="P2:W2"/>
    <mergeCell ref="G27:N27"/>
    <mergeCell ref="P27:W27"/>
    <mergeCell ref="B1:D1"/>
    <mergeCell ref="B7:D7"/>
    <mergeCell ref="B13:D13"/>
    <mergeCell ref="B19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4DAD-9CB0-49DE-943B-43C6958F8272}">
  <dimension ref="A1:T8"/>
  <sheetViews>
    <sheetView workbookViewId="0">
      <selection activeCell="D2" sqref="D2"/>
    </sheetView>
  </sheetViews>
  <sheetFormatPr defaultRowHeight="14.4" x14ac:dyDescent="0.3"/>
  <cols>
    <col min="6" max="6" width="14.44140625" bestFit="1" customWidth="1"/>
  </cols>
  <sheetData>
    <row r="1" spans="1:20" x14ac:dyDescent="0.3">
      <c r="A1" t="s">
        <v>120</v>
      </c>
      <c r="B1" t="s">
        <v>119</v>
      </c>
      <c r="C1" t="s">
        <v>124</v>
      </c>
      <c r="F1" s="14" t="s">
        <v>125</v>
      </c>
      <c r="G1" s="14"/>
    </row>
    <row r="2" spans="1:20" x14ac:dyDescent="0.3">
      <c r="A2" t="s">
        <v>121</v>
      </c>
      <c r="B2">
        <v>25.45</v>
      </c>
      <c r="C2">
        <v>3.5</v>
      </c>
      <c r="D2">
        <f>C2/B2</f>
        <v>0.13752455795677801</v>
      </c>
      <c r="F2" t="s">
        <v>119</v>
      </c>
      <c r="G2" t="s">
        <v>124</v>
      </c>
    </row>
    <row r="3" spans="1:20" x14ac:dyDescent="0.3">
      <c r="A3" t="s">
        <v>122</v>
      </c>
      <c r="B3">
        <v>56.4</v>
      </c>
      <c r="C3">
        <v>4.4640000000000004</v>
      </c>
      <c r="D3">
        <f t="shared" ref="D3" si="0">C3/B3</f>
        <v>7.9148936170212777E-2</v>
      </c>
      <c r="F3">
        <v>0</v>
      </c>
      <c r="G3">
        <f>0.0554*F3+1.7965</f>
        <v>1.7965</v>
      </c>
    </row>
    <row r="4" spans="1:20" x14ac:dyDescent="0.3">
      <c r="A4" t="s">
        <v>123</v>
      </c>
      <c r="B4">
        <v>111.5</v>
      </c>
      <c r="C4">
        <v>8.14</v>
      </c>
      <c r="D4">
        <f>C4/B4</f>
        <v>7.300448430493274E-2</v>
      </c>
      <c r="F4">
        <v>125</v>
      </c>
      <c r="G4">
        <f>0.0554*F4+1.7965</f>
        <v>8.7214999999999989</v>
      </c>
    </row>
    <row r="8" spans="1:20" x14ac:dyDescent="0.3">
      <c r="T8" s="9"/>
    </row>
  </sheetData>
  <mergeCells count="1"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B637-6319-44EB-9876-0E859F0DB24E}">
  <dimension ref="A1:I27"/>
  <sheetViews>
    <sheetView workbookViewId="0">
      <selection activeCell="F31" sqref="F31"/>
    </sheetView>
  </sheetViews>
  <sheetFormatPr defaultRowHeight="14.4" x14ac:dyDescent="0.3"/>
  <cols>
    <col min="1" max="1" width="18" bestFit="1" customWidth="1"/>
    <col min="2" max="2" width="28.5546875" bestFit="1" customWidth="1"/>
    <col min="3" max="3" width="14.5546875" bestFit="1" customWidth="1"/>
    <col min="4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126</v>
      </c>
    </row>
    <row r="2" spans="1:9" ht="15" thickBot="1" x14ac:dyDescent="0.35"/>
    <row r="3" spans="1:9" x14ac:dyDescent="0.3">
      <c r="A3" s="13" t="s">
        <v>127</v>
      </c>
      <c r="B3" s="13"/>
    </row>
    <row r="4" spans="1:9" x14ac:dyDescent="0.3">
      <c r="A4" s="10" t="s">
        <v>128</v>
      </c>
      <c r="B4" s="10">
        <v>0.98644881634716397</v>
      </c>
    </row>
    <row r="5" spans="1:9" x14ac:dyDescent="0.3">
      <c r="A5" s="10" t="s">
        <v>129</v>
      </c>
      <c r="B5" s="10">
        <v>0.97308126727272093</v>
      </c>
    </row>
    <row r="6" spans="1:9" x14ac:dyDescent="0.3">
      <c r="A6" s="10" t="s">
        <v>130</v>
      </c>
      <c r="B6" s="10">
        <v>0.94616253454544186</v>
      </c>
    </row>
    <row r="7" spans="1:9" x14ac:dyDescent="0.3">
      <c r="A7" s="10" t="s">
        <v>131</v>
      </c>
      <c r="B7" s="10">
        <v>0.56813062115089119</v>
      </c>
    </row>
    <row r="8" spans="1:9" ht="15" thickBot="1" x14ac:dyDescent="0.35">
      <c r="A8" s="11" t="s">
        <v>132</v>
      </c>
      <c r="B8" s="11">
        <v>3</v>
      </c>
    </row>
    <row r="10" spans="1:9" ht="15" thickBot="1" x14ac:dyDescent="0.35">
      <c r="A10" t="s">
        <v>133</v>
      </c>
    </row>
    <row r="11" spans="1:9" x14ac:dyDescent="0.3">
      <c r="A11" s="12"/>
      <c r="B11" s="12" t="s">
        <v>137</v>
      </c>
      <c r="C11" s="12" t="s">
        <v>138</v>
      </c>
      <c r="D11" s="12" t="s">
        <v>139</v>
      </c>
      <c r="E11" s="12" t="s">
        <v>140</v>
      </c>
      <c r="F11" s="12" t="s">
        <v>141</v>
      </c>
    </row>
    <row r="12" spans="1:9" x14ac:dyDescent="0.3">
      <c r="A12" s="10" t="s">
        <v>134</v>
      </c>
      <c r="B12" s="10">
        <v>1</v>
      </c>
      <c r="C12" s="10">
        <v>11.667851597310705</v>
      </c>
      <c r="D12" s="10">
        <v>11.667851597310705</v>
      </c>
      <c r="E12" s="10">
        <v>36.148851327113753</v>
      </c>
      <c r="F12" s="10">
        <v>0.10492413391078724</v>
      </c>
    </row>
    <row r="13" spans="1:9" x14ac:dyDescent="0.3">
      <c r="A13" s="10" t="s">
        <v>135</v>
      </c>
      <c r="B13" s="10">
        <v>1</v>
      </c>
      <c r="C13" s="10">
        <v>0.32277240268929747</v>
      </c>
      <c r="D13" s="10">
        <v>0.32277240268929747</v>
      </c>
      <c r="E13" s="10"/>
      <c r="F13" s="10"/>
    </row>
    <row r="14" spans="1:9" ht="15" thickBot="1" x14ac:dyDescent="0.35">
      <c r="A14" s="11" t="s">
        <v>96</v>
      </c>
      <c r="B14" s="11">
        <v>2</v>
      </c>
      <c r="C14" s="11">
        <v>11.990624000000002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142</v>
      </c>
      <c r="C16" s="12" t="s">
        <v>131</v>
      </c>
      <c r="D16" s="12" t="s">
        <v>143</v>
      </c>
      <c r="E16" s="12" t="s">
        <v>144</v>
      </c>
      <c r="F16" s="12" t="s">
        <v>145</v>
      </c>
      <c r="G16" s="12" t="s">
        <v>146</v>
      </c>
      <c r="H16" s="12" t="s">
        <v>147</v>
      </c>
      <c r="I16" s="12" t="s">
        <v>148</v>
      </c>
    </row>
    <row r="17" spans="1:9" x14ac:dyDescent="0.3">
      <c r="A17" s="10" t="s">
        <v>136</v>
      </c>
      <c r="B17" s="10">
        <v>1.7964654158897</v>
      </c>
      <c r="C17" s="10">
        <v>0.67857290797665049</v>
      </c>
      <c r="D17" s="10">
        <v>2.6474169463180455</v>
      </c>
      <c r="E17" s="10">
        <v>0.22992098209681863</v>
      </c>
      <c r="F17" s="10">
        <v>-6.8256208812830605</v>
      </c>
      <c r="G17" s="10">
        <v>10.41855171306246</v>
      </c>
      <c r="H17" s="10">
        <v>-6.8256208812830605</v>
      </c>
      <c r="I17" s="10">
        <v>10.41855171306246</v>
      </c>
    </row>
    <row r="18" spans="1:9" ht="15" thickBot="1" x14ac:dyDescent="0.35">
      <c r="A18" s="11" t="s">
        <v>119</v>
      </c>
      <c r="B18" s="11">
        <v>5.5415587030415818E-2</v>
      </c>
      <c r="C18" s="11">
        <v>9.2168960056407592E-3</v>
      </c>
      <c r="D18" s="11">
        <v>6.012391481524948</v>
      </c>
      <c r="E18" s="11">
        <v>0.10492413391078724</v>
      </c>
      <c r="F18" s="11">
        <v>-6.1696180649286538E-2</v>
      </c>
      <c r="G18" s="11">
        <v>0.17252735471011818</v>
      </c>
      <c r="H18" s="11">
        <v>-6.1696180649286538E-2</v>
      </c>
      <c r="I18" s="11">
        <v>0.17252735471011818</v>
      </c>
    </row>
    <row r="22" spans="1:9" x14ac:dyDescent="0.3">
      <c r="A22" t="s">
        <v>149</v>
      </c>
    </row>
    <row r="23" spans="1:9" ht="15" thickBot="1" x14ac:dyDescent="0.35"/>
    <row r="24" spans="1:9" x14ac:dyDescent="0.3">
      <c r="A24" s="12" t="s">
        <v>150</v>
      </c>
      <c r="B24" s="12" t="s">
        <v>152</v>
      </c>
      <c r="C24" s="12" t="s">
        <v>151</v>
      </c>
    </row>
    <row r="25" spans="1:9" x14ac:dyDescent="0.3">
      <c r="A25" s="10">
        <v>1</v>
      </c>
      <c r="B25" s="10">
        <v>3.2067921058137827</v>
      </c>
      <c r="C25" s="10">
        <v>0.29320789418621729</v>
      </c>
    </row>
    <row r="26" spans="1:9" x14ac:dyDescent="0.3">
      <c r="A26" s="10">
        <v>2</v>
      </c>
      <c r="B26" s="10">
        <v>4.9219045244051518</v>
      </c>
      <c r="C26" s="10">
        <v>-0.45790452440515139</v>
      </c>
    </row>
    <row r="27" spans="1:9" ht="15" thickBot="1" x14ac:dyDescent="0.35">
      <c r="A27" s="11">
        <v>3</v>
      </c>
      <c r="B27" s="11">
        <v>7.9753033697810638</v>
      </c>
      <c r="C27" s="11">
        <v>0.16469663021893677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 binding</vt:lpstr>
      <vt:lpstr>PS20</vt:lpstr>
      <vt:lpstr>Fitting</vt:lpstr>
      <vt:lpstr>PIPvthickness</vt:lpstr>
      <vt:lpstr>RegressAnal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Metrohm IC</dc:creator>
  <cp:lastModifiedBy>Cody Ritt</cp:lastModifiedBy>
  <dcterms:created xsi:type="dcterms:W3CDTF">2020-01-24T21:17:35Z</dcterms:created>
  <dcterms:modified xsi:type="dcterms:W3CDTF">2020-08-06T14:57:40Z</dcterms:modified>
</cp:coreProperties>
</file>