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8_{2979634B-828A-46B6-A0B5-7527E9B8BFEA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Data" sheetId="1" r:id="rId1"/>
    <sheet name="Fitting Lines" sheetId="2" r:id="rId2"/>
    <sheet name="Volume Carboxyl Density" sheetId="3" r:id="rId3"/>
  </sheets>
  <definedNames>
    <definedName name="_190116cr" localSheetId="0">Data!$A$1:$E$84</definedName>
    <definedName name="solver_adj" localSheetId="1" hidden="1">'Fitting Lines'!$H$1</definedName>
    <definedName name="solver_adj" localSheetId="2" hidden="1">'Volume Carboxyl Density'!$Z$1:$AA$1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'Fitting Lines'!$W$1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'Fitting Lines'!$T$22</definedName>
    <definedName name="solver_opt" localSheetId="2" hidden="1">'Volume Carboxyl Density'!$AJ$22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3</definedName>
    <definedName name="solver_rhs1" localSheetId="1" hidden="1">5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2" l="1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Q4" i="2"/>
  <c r="P4" i="2"/>
  <c r="R4" i="2"/>
  <c r="T4" i="3"/>
  <c r="S4" i="3"/>
  <c r="S26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U4" i="3"/>
  <c r="F21" i="3" l="1"/>
  <c r="K17" i="3" l="1"/>
  <c r="F10" i="3"/>
  <c r="E8" i="1" l="1"/>
  <c r="G3" i="3" l="1"/>
  <c r="F3" i="3"/>
  <c r="F23" i="2"/>
  <c r="F16" i="2"/>
  <c r="F9" i="2"/>
  <c r="F2" i="2"/>
  <c r="E23" i="2"/>
  <c r="E16" i="2"/>
  <c r="E9" i="2"/>
  <c r="E2" i="2"/>
  <c r="AG27" i="3" l="1"/>
  <c r="AG28" i="3"/>
  <c r="AG30" i="3"/>
  <c r="AG31" i="3"/>
  <c r="AG33" i="3"/>
  <c r="AG34" i="3"/>
  <c r="AG35" i="3"/>
  <c r="AG36" i="3"/>
  <c r="AG38" i="3"/>
  <c r="AG39" i="3"/>
  <c r="AG41" i="3"/>
  <c r="AG42" i="3"/>
  <c r="AG43" i="3"/>
  <c r="AF5" i="3"/>
  <c r="AF6" i="3"/>
  <c r="AF7" i="3"/>
  <c r="AG7" i="3" s="1"/>
  <c r="AF8" i="3"/>
  <c r="AF9" i="3"/>
  <c r="AF10" i="3"/>
  <c r="AF11" i="3"/>
  <c r="AF12" i="3"/>
  <c r="AG12" i="3" s="1"/>
  <c r="AF13" i="3"/>
  <c r="AF14" i="3"/>
  <c r="AF15" i="3"/>
  <c r="AF16" i="3"/>
  <c r="AF17" i="3"/>
  <c r="AF18" i="3"/>
  <c r="AG18" i="3" s="1"/>
  <c r="AF19" i="3"/>
  <c r="AG19" i="3" s="1"/>
  <c r="AF20" i="3"/>
  <c r="AG20" i="3" s="1"/>
  <c r="AF21" i="3"/>
  <c r="AF4" i="3"/>
  <c r="N5" i="2"/>
  <c r="AD43" i="3"/>
  <c r="AA43" i="3"/>
  <c r="AC43" i="3" s="1"/>
  <c r="Z43" i="3"/>
  <c r="AB43" i="3" s="1"/>
  <c r="O43" i="3"/>
  <c r="L43" i="3"/>
  <c r="N43" i="3" s="1"/>
  <c r="K43" i="3"/>
  <c r="M43" i="3" s="1"/>
  <c r="AD42" i="3"/>
  <c r="AA42" i="3"/>
  <c r="AC42" i="3" s="1"/>
  <c r="Z42" i="3"/>
  <c r="AB42" i="3" s="1"/>
  <c r="O42" i="3"/>
  <c r="L42" i="3"/>
  <c r="N42" i="3" s="1"/>
  <c r="K42" i="3"/>
  <c r="M42" i="3" s="1"/>
  <c r="AD41" i="3"/>
  <c r="AA41" i="3"/>
  <c r="AC41" i="3" s="1"/>
  <c r="Z41" i="3"/>
  <c r="AB41" i="3" s="1"/>
  <c r="O41" i="3"/>
  <c r="L41" i="3"/>
  <c r="N41" i="3" s="1"/>
  <c r="K41" i="3"/>
  <c r="M41" i="3" s="1"/>
  <c r="AD40" i="3"/>
  <c r="AA40" i="3"/>
  <c r="AC40" i="3" s="1"/>
  <c r="Z40" i="3"/>
  <c r="AB40" i="3" s="1"/>
  <c r="O40" i="3"/>
  <c r="L40" i="3"/>
  <c r="N40" i="3" s="1"/>
  <c r="K40" i="3"/>
  <c r="M40" i="3" s="1"/>
  <c r="AD39" i="3"/>
  <c r="AA39" i="3"/>
  <c r="AC39" i="3" s="1"/>
  <c r="Z39" i="3"/>
  <c r="AB39" i="3" s="1"/>
  <c r="O39" i="3"/>
  <c r="L39" i="3"/>
  <c r="N39" i="3" s="1"/>
  <c r="K39" i="3"/>
  <c r="M39" i="3" s="1"/>
  <c r="AD38" i="3"/>
  <c r="AC38" i="3"/>
  <c r="AA38" i="3"/>
  <c r="Z38" i="3"/>
  <c r="AB38" i="3" s="1"/>
  <c r="O38" i="3"/>
  <c r="L38" i="3"/>
  <c r="N38" i="3" s="1"/>
  <c r="K38" i="3"/>
  <c r="M38" i="3" s="1"/>
  <c r="AG37" i="3"/>
  <c r="AD37" i="3"/>
  <c r="AA37" i="3"/>
  <c r="AC37" i="3" s="1"/>
  <c r="Z37" i="3"/>
  <c r="AB37" i="3" s="1"/>
  <c r="O37" i="3"/>
  <c r="L37" i="3"/>
  <c r="N37" i="3" s="1"/>
  <c r="K37" i="3"/>
  <c r="M37" i="3" s="1"/>
  <c r="AD36" i="3"/>
  <c r="AB36" i="3"/>
  <c r="AA36" i="3"/>
  <c r="AC36" i="3" s="1"/>
  <c r="Z36" i="3"/>
  <c r="O36" i="3"/>
  <c r="L36" i="3"/>
  <c r="N36" i="3" s="1"/>
  <c r="K36" i="3"/>
  <c r="M36" i="3" s="1"/>
  <c r="AD35" i="3"/>
  <c r="AA35" i="3"/>
  <c r="AC35" i="3" s="1"/>
  <c r="Z35" i="3"/>
  <c r="AB35" i="3" s="1"/>
  <c r="O35" i="3"/>
  <c r="L35" i="3"/>
  <c r="N35" i="3" s="1"/>
  <c r="K35" i="3"/>
  <c r="M35" i="3" s="1"/>
  <c r="AD34" i="3"/>
  <c r="AA34" i="3"/>
  <c r="AC34" i="3" s="1"/>
  <c r="Z34" i="3"/>
  <c r="AB34" i="3" s="1"/>
  <c r="O34" i="3"/>
  <c r="L34" i="3"/>
  <c r="N34" i="3" s="1"/>
  <c r="K34" i="3"/>
  <c r="M34" i="3" s="1"/>
  <c r="AD33" i="3"/>
  <c r="AA33" i="3"/>
  <c r="AC33" i="3" s="1"/>
  <c r="Z33" i="3"/>
  <c r="AB33" i="3" s="1"/>
  <c r="O33" i="3"/>
  <c r="L33" i="3"/>
  <c r="N33" i="3" s="1"/>
  <c r="K33" i="3"/>
  <c r="M33" i="3" s="1"/>
  <c r="AG32" i="3"/>
  <c r="AD32" i="3"/>
  <c r="AB32" i="3"/>
  <c r="AA32" i="3"/>
  <c r="AC32" i="3" s="1"/>
  <c r="Z32" i="3"/>
  <c r="O32" i="3"/>
  <c r="L32" i="3"/>
  <c r="N32" i="3" s="1"/>
  <c r="K32" i="3"/>
  <c r="M32" i="3" s="1"/>
  <c r="AD31" i="3"/>
  <c r="AA31" i="3"/>
  <c r="AC31" i="3" s="1"/>
  <c r="Z31" i="3"/>
  <c r="AB31" i="3" s="1"/>
  <c r="O31" i="3"/>
  <c r="L31" i="3"/>
  <c r="N31" i="3" s="1"/>
  <c r="K31" i="3"/>
  <c r="M31" i="3" s="1"/>
  <c r="AD30" i="3"/>
  <c r="AA30" i="3"/>
  <c r="AC30" i="3" s="1"/>
  <c r="Z30" i="3"/>
  <c r="AB30" i="3" s="1"/>
  <c r="O30" i="3"/>
  <c r="L30" i="3"/>
  <c r="N30" i="3" s="1"/>
  <c r="K30" i="3"/>
  <c r="M30" i="3" s="1"/>
  <c r="AD29" i="3"/>
  <c r="AA29" i="3"/>
  <c r="AC29" i="3" s="1"/>
  <c r="Z29" i="3"/>
  <c r="AB29" i="3" s="1"/>
  <c r="O29" i="3"/>
  <c r="L29" i="3"/>
  <c r="N29" i="3" s="1"/>
  <c r="K29" i="3"/>
  <c r="M29" i="3" s="1"/>
  <c r="AD28" i="3"/>
  <c r="AA28" i="3"/>
  <c r="AC28" i="3" s="1"/>
  <c r="Z28" i="3"/>
  <c r="AB28" i="3" s="1"/>
  <c r="O28" i="3"/>
  <c r="L28" i="3"/>
  <c r="N28" i="3" s="1"/>
  <c r="K28" i="3"/>
  <c r="M28" i="3" s="1"/>
  <c r="AD27" i="3"/>
  <c r="AA27" i="3"/>
  <c r="AC27" i="3" s="1"/>
  <c r="Z27" i="3"/>
  <c r="AB27" i="3" s="1"/>
  <c r="O27" i="3"/>
  <c r="L27" i="3"/>
  <c r="N27" i="3" s="1"/>
  <c r="K27" i="3"/>
  <c r="M27" i="3" s="1"/>
  <c r="AD26" i="3"/>
  <c r="AA26" i="3"/>
  <c r="AC26" i="3" s="1"/>
  <c r="Z26" i="3"/>
  <c r="AB26" i="3" s="1"/>
  <c r="O26" i="3"/>
  <c r="L26" i="3"/>
  <c r="N26" i="3" s="1"/>
  <c r="K26" i="3"/>
  <c r="M26" i="3" s="1"/>
  <c r="AG21" i="3"/>
  <c r="AD21" i="3"/>
  <c r="AA21" i="3"/>
  <c r="AC21" i="3" s="1"/>
  <c r="Z21" i="3"/>
  <c r="AB21" i="3" s="1"/>
  <c r="O21" i="3"/>
  <c r="L21" i="3"/>
  <c r="N21" i="3" s="1"/>
  <c r="K21" i="3"/>
  <c r="M21" i="3" s="1"/>
  <c r="AD20" i="3"/>
  <c r="AA20" i="3"/>
  <c r="AC20" i="3" s="1"/>
  <c r="Z20" i="3"/>
  <c r="AB20" i="3" s="1"/>
  <c r="O20" i="3"/>
  <c r="L20" i="3"/>
  <c r="N20" i="3" s="1"/>
  <c r="K20" i="3"/>
  <c r="M20" i="3" s="1"/>
  <c r="AD19" i="3"/>
  <c r="AA19" i="3"/>
  <c r="AC19" i="3" s="1"/>
  <c r="Z19" i="3"/>
  <c r="AB19" i="3" s="1"/>
  <c r="O19" i="3"/>
  <c r="L19" i="3"/>
  <c r="N19" i="3" s="1"/>
  <c r="K19" i="3"/>
  <c r="M19" i="3" s="1"/>
  <c r="AD18" i="3"/>
  <c r="AA18" i="3"/>
  <c r="AC18" i="3" s="1"/>
  <c r="Z18" i="3"/>
  <c r="AB18" i="3" s="1"/>
  <c r="O18" i="3"/>
  <c r="L18" i="3"/>
  <c r="N18" i="3" s="1"/>
  <c r="K18" i="3"/>
  <c r="M18" i="3" s="1"/>
  <c r="AD17" i="3"/>
  <c r="AA17" i="3"/>
  <c r="AC17" i="3" s="1"/>
  <c r="Z17" i="3"/>
  <c r="AB17" i="3" s="1"/>
  <c r="O17" i="3"/>
  <c r="L17" i="3"/>
  <c r="N17" i="3" s="1"/>
  <c r="M17" i="3"/>
  <c r="AG16" i="3"/>
  <c r="AD16" i="3"/>
  <c r="AA16" i="3"/>
  <c r="AC16" i="3" s="1"/>
  <c r="Z16" i="3"/>
  <c r="AB16" i="3" s="1"/>
  <c r="O16" i="3"/>
  <c r="L16" i="3"/>
  <c r="N16" i="3" s="1"/>
  <c r="K16" i="3"/>
  <c r="M16" i="3" s="1"/>
  <c r="AD15" i="3"/>
  <c r="AA15" i="3"/>
  <c r="AC15" i="3" s="1"/>
  <c r="Z15" i="3"/>
  <c r="AB15" i="3" s="1"/>
  <c r="O15" i="3"/>
  <c r="L15" i="3"/>
  <c r="N15" i="3" s="1"/>
  <c r="K15" i="3"/>
  <c r="M15" i="3" s="1"/>
  <c r="AG14" i="3"/>
  <c r="AD14" i="3"/>
  <c r="AA14" i="3"/>
  <c r="AC14" i="3" s="1"/>
  <c r="Z14" i="3"/>
  <c r="AB14" i="3" s="1"/>
  <c r="O14" i="3"/>
  <c r="L14" i="3"/>
  <c r="N14" i="3" s="1"/>
  <c r="K14" i="3"/>
  <c r="M14" i="3" s="1"/>
  <c r="AG13" i="3"/>
  <c r="AD13" i="3"/>
  <c r="AA13" i="3"/>
  <c r="AC13" i="3" s="1"/>
  <c r="Z13" i="3"/>
  <c r="AB13" i="3" s="1"/>
  <c r="O13" i="3"/>
  <c r="L13" i="3"/>
  <c r="N13" i="3" s="1"/>
  <c r="K13" i="3"/>
  <c r="M13" i="3" s="1"/>
  <c r="AD12" i="3"/>
  <c r="AA12" i="3"/>
  <c r="AC12" i="3" s="1"/>
  <c r="Z12" i="3"/>
  <c r="AB12" i="3" s="1"/>
  <c r="O12" i="3"/>
  <c r="L12" i="3"/>
  <c r="N12" i="3" s="1"/>
  <c r="K12" i="3"/>
  <c r="M12" i="3" s="1"/>
  <c r="AG11" i="3"/>
  <c r="AD11" i="3"/>
  <c r="AA11" i="3"/>
  <c r="AC11" i="3" s="1"/>
  <c r="Z11" i="3"/>
  <c r="AB11" i="3" s="1"/>
  <c r="O11" i="3"/>
  <c r="L11" i="3"/>
  <c r="N11" i="3" s="1"/>
  <c r="K11" i="3"/>
  <c r="M11" i="3" s="1"/>
  <c r="AG10" i="3"/>
  <c r="AD10" i="3"/>
  <c r="AA10" i="3"/>
  <c r="AC10" i="3" s="1"/>
  <c r="Z10" i="3"/>
  <c r="AB10" i="3" s="1"/>
  <c r="O10" i="3"/>
  <c r="L10" i="3"/>
  <c r="N10" i="3" s="1"/>
  <c r="K10" i="3"/>
  <c r="M10" i="3" s="1"/>
  <c r="AG9" i="3"/>
  <c r="AD9" i="3"/>
  <c r="AA9" i="3"/>
  <c r="AC9" i="3" s="1"/>
  <c r="Z9" i="3"/>
  <c r="AB9" i="3" s="1"/>
  <c r="O9" i="3"/>
  <c r="L9" i="3"/>
  <c r="N9" i="3" s="1"/>
  <c r="K9" i="3"/>
  <c r="M9" i="3" s="1"/>
  <c r="AG8" i="3"/>
  <c r="AD8" i="3"/>
  <c r="AA8" i="3"/>
  <c r="AC8" i="3" s="1"/>
  <c r="Z8" i="3"/>
  <c r="AB8" i="3" s="1"/>
  <c r="O8" i="3"/>
  <c r="L8" i="3"/>
  <c r="N8" i="3" s="1"/>
  <c r="K8" i="3"/>
  <c r="M8" i="3" s="1"/>
  <c r="AD7" i="3"/>
  <c r="AA7" i="3"/>
  <c r="AC7" i="3" s="1"/>
  <c r="Z7" i="3"/>
  <c r="AB7" i="3" s="1"/>
  <c r="O7" i="3"/>
  <c r="L7" i="3"/>
  <c r="N7" i="3" s="1"/>
  <c r="K7" i="3"/>
  <c r="M7" i="3" s="1"/>
  <c r="AD6" i="3"/>
  <c r="AA6" i="3"/>
  <c r="AC6" i="3" s="1"/>
  <c r="Z6" i="3"/>
  <c r="AB6" i="3" s="1"/>
  <c r="O6" i="3"/>
  <c r="L6" i="3"/>
  <c r="N6" i="3" s="1"/>
  <c r="K6" i="3"/>
  <c r="M6" i="3" s="1"/>
  <c r="AD5" i="3"/>
  <c r="AA5" i="3"/>
  <c r="AC5" i="3" s="1"/>
  <c r="Z5" i="3"/>
  <c r="AB5" i="3" s="1"/>
  <c r="O5" i="3"/>
  <c r="L5" i="3"/>
  <c r="N5" i="3" s="1"/>
  <c r="K5" i="3"/>
  <c r="M5" i="3" s="1"/>
  <c r="AD4" i="3"/>
  <c r="AA4" i="3"/>
  <c r="AC4" i="3" s="1"/>
  <c r="Z4" i="3"/>
  <c r="AB4" i="3" s="1"/>
  <c r="O4" i="3"/>
  <c r="L4" i="3"/>
  <c r="N4" i="3" s="1"/>
  <c r="K4" i="3"/>
  <c r="M4" i="3" s="1"/>
  <c r="E42" i="1"/>
  <c r="E27" i="1"/>
  <c r="G27" i="1" s="1"/>
  <c r="G28" i="3"/>
  <c r="F28" i="3"/>
  <c r="G27" i="3"/>
  <c r="F27" i="3"/>
  <c r="G26" i="3"/>
  <c r="F26" i="3"/>
  <c r="G25" i="3"/>
  <c r="F25" i="3"/>
  <c r="H23" i="3" s="1"/>
  <c r="G24" i="3"/>
  <c r="F24" i="3"/>
  <c r="G23" i="3"/>
  <c r="F23" i="3"/>
  <c r="G21" i="3"/>
  <c r="G20" i="3"/>
  <c r="F20" i="3"/>
  <c r="G19" i="3"/>
  <c r="F19" i="3"/>
  <c r="G18" i="3"/>
  <c r="F18" i="3"/>
  <c r="H16" i="3" s="1"/>
  <c r="G17" i="3"/>
  <c r="F17" i="3"/>
  <c r="G16" i="3"/>
  <c r="F16" i="3"/>
  <c r="G14" i="3"/>
  <c r="I9" i="3" s="1"/>
  <c r="F14" i="3"/>
  <c r="G13" i="3"/>
  <c r="F13" i="3"/>
  <c r="G12" i="3"/>
  <c r="F12" i="3"/>
  <c r="G11" i="3"/>
  <c r="F11" i="3"/>
  <c r="G10" i="3"/>
  <c r="G9" i="3"/>
  <c r="F9" i="3"/>
  <c r="F4" i="3"/>
  <c r="Q5" i="3" s="1"/>
  <c r="G4" i="3"/>
  <c r="F5" i="3"/>
  <c r="G5" i="3"/>
  <c r="F6" i="3"/>
  <c r="G6" i="3"/>
  <c r="F7" i="3"/>
  <c r="G7" i="3"/>
  <c r="G2" i="3"/>
  <c r="I2" i="3" s="1"/>
  <c r="F2" i="3"/>
  <c r="U26" i="3" l="1"/>
  <c r="H2" i="3"/>
  <c r="H9" i="3"/>
  <c r="I23" i="3"/>
  <c r="Q17" i="3"/>
  <c r="R17" i="3" s="1"/>
  <c r="U17" i="3" s="1"/>
  <c r="W17" i="3" s="1"/>
  <c r="AH39" i="3"/>
  <c r="AJ39" i="3" s="1"/>
  <c r="I16" i="3"/>
  <c r="Q20" i="3"/>
  <c r="R20" i="3" s="1"/>
  <c r="Q12" i="3"/>
  <c r="R12" i="3" s="1"/>
  <c r="Q26" i="3"/>
  <c r="R26" i="3" s="1"/>
  <c r="Q38" i="3"/>
  <c r="R38" i="3" s="1"/>
  <c r="Q19" i="3"/>
  <c r="R19" i="3" s="1"/>
  <c r="Q11" i="3"/>
  <c r="R11" i="3" s="1"/>
  <c r="Q35" i="3"/>
  <c r="R35" i="3" s="1"/>
  <c r="Q18" i="3"/>
  <c r="R18" i="3" s="1"/>
  <c r="Q10" i="3"/>
  <c r="R10" i="3" s="1"/>
  <c r="Q42" i="3"/>
  <c r="R42" i="3" s="1"/>
  <c r="Q34" i="3"/>
  <c r="R34" i="3" s="1"/>
  <c r="Q16" i="3"/>
  <c r="R16" i="3" s="1"/>
  <c r="U16" i="3" s="1"/>
  <c r="Q8" i="3"/>
  <c r="R8" i="3" s="1"/>
  <c r="Q40" i="3"/>
  <c r="R40" i="3" s="1"/>
  <c r="U40" i="3" s="1"/>
  <c r="W40" i="3" s="1"/>
  <c r="Q9" i="3"/>
  <c r="R9" i="3" s="1"/>
  <c r="U9" i="3" s="1"/>
  <c r="AH19" i="3"/>
  <c r="Q15" i="3"/>
  <c r="R15" i="3" s="1"/>
  <c r="Q7" i="3"/>
  <c r="R7" i="3" s="1"/>
  <c r="U7" i="3" s="1"/>
  <c r="W7" i="3" s="1"/>
  <c r="Q39" i="3"/>
  <c r="R39" i="3" s="1"/>
  <c r="U39" i="3" s="1"/>
  <c r="W39" i="3" s="1"/>
  <c r="Q31" i="3"/>
  <c r="Q41" i="3"/>
  <c r="R41" i="3" s="1"/>
  <c r="Q33" i="3"/>
  <c r="R33" i="3" s="1"/>
  <c r="Q4" i="3"/>
  <c r="R4" i="3" s="1"/>
  <c r="Q14" i="3"/>
  <c r="R14" i="3" s="1"/>
  <c r="Q6" i="3"/>
  <c r="R6" i="3" s="1"/>
  <c r="U6" i="3" s="1"/>
  <c r="Q30" i="3"/>
  <c r="Q21" i="3"/>
  <c r="R21" i="3" s="1"/>
  <c r="Q13" i="3"/>
  <c r="R13" i="3" s="1"/>
  <c r="Q37" i="3"/>
  <c r="AH38" i="3"/>
  <c r="AH32" i="3"/>
  <c r="AH43" i="3"/>
  <c r="AH42" i="3"/>
  <c r="AH35" i="3"/>
  <c r="AH36" i="3"/>
  <c r="AH27" i="3"/>
  <c r="AH30" i="3"/>
  <c r="AH33" i="3"/>
  <c r="AJ33" i="3" s="1"/>
  <c r="AH16" i="3"/>
  <c r="AH18" i="3"/>
  <c r="AJ18" i="3" s="1"/>
  <c r="AH8" i="3"/>
  <c r="AH14" i="3"/>
  <c r="AH20" i="3"/>
  <c r="AH7" i="3"/>
  <c r="AJ7" i="3" s="1"/>
  <c r="AH9" i="3"/>
  <c r="AH34" i="3"/>
  <c r="AH37" i="3"/>
  <c r="AJ37" i="3" s="1"/>
  <c r="AH11" i="3"/>
  <c r="AJ11" i="3" s="1"/>
  <c r="AH28" i="3"/>
  <c r="AH10" i="3"/>
  <c r="AH12" i="3"/>
  <c r="AH21" i="3"/>
  <c r="AH31" i="3"/>
  <c r="AH13" i="3"/>
  <c r="AH41" i="3"/>
  <c r="AG15" i="3"/>
  <c r="AH15" i="3" s="1"/>
  <c r="AJ15" i="3" s="1"/>
  <c r="AG26" i="3"/>
  <c r="AH26" i="3" s="1"/>
  <c r="AJ26" i="3" s="1"/>
  <c r="AG4" i="3"/>
  <c r="AH4" i="3" s="1"/>
  <c r="AJ4" i="3" s="1"/>
  <c r="AG17" i="3"/>
  <c r="AH17" i="3" s="1"/>
  <c r="AJ17" i="3" s="1"/>
  <c r="AG29" i="3"/>
  <c r="AH29" i="3" s="1"/>
  <c r="AJ29" i="3" s="1"/>
  <c r="AG40" i="3"/>
  <c r="AH40" i="3" s="1"/>
  <c r="AJ40" i="3" s="1"/>
  <c r="R5" i="3"/>
  <c r="U5" i="3" s="1"/>
  <c r="AG5" i="3"/>
  <c r="AH5" i="3" s="1"/>
  <c r="AG6" i="3"/>
  <c r="AH6" i="3" s="1"/>
  <c r="W26" i="3" l="1"/>
  <c r="U33" i="3"/>
  <c r="W33" i="3" s="1"/>
  <c r="U11" i="3"/>
  <c r="W11" i="3" s="1"/>
  <c r="U10" i="3"/>
  <c r="W4" i="3"/>
  <c r="U38" i="3"/>
  <c r="Q32" i="3"/>
  <c r="R32" i="3" s="1"/>
  <c r="Q28" i="3"/>
  <c r="R28" i="3" s="1"/>
  <c r="Q36" i="3"/>
  <c r="R36" i="3" s="1"/>
  <c r="U35" i="3"/>
  <c r="U15" i="3"/>
  <c r="W15" i="3" s="1"/>
  <c r="U8" i="3"/>
  <c r="U18" i="3"/>
  <c r="W18" i="3" s="1"/>
  <c r="U14" i="3"/>
  <c r="U21" i="3"/>
  <c r="U13" i="3"/>
  <c r="U20" i="3"/>
  <c r="R37" i="3"/>
  <c r="U37" i="3" s="1"/>
  <c r="W37" i="3" s="1"/>
  <c r="U42" i="3"/>
  <c r="R31" i="3"/>
  <c r="U31" i="3" s="1"/>
  <c r="R30" i="3"/>
  <c r="U30" i="3" s="1"/>
  <c r="Q43" i="3"/>
  <c r="R43" i="3" s="1"/>
  <c r="U43" i="3" s="1"/>
  <c r="U19" i="3"/>
  <c r="Q29" i="3"/>
  <c r="R29" i="3" s="1"/>
  <c r="U41" i="3"/>
  <c r="U12" i="3"/>
  <c r="Q27" i="3"/>
  <c r="R27" i="3" s="1"/>
  <c r="U34" i="3"/>
  <c r="AJ44" i="3"/>
  <c r="AJ22" i="3"/>
  <c r="W22" i="3" l="1"/>
  <c r="U32" i="3"/>
  <c r="U28" i="3"/>
  <c r="U36" i="3"/>
  <c r="U27" i="3"/>
  <c r="U29" i="3"/>
  <c r="W29" i="3" s="1"/>
  <c r="W44" i="3" s="1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W11" i="2"/>
  <c r="W4" i="2"/>
  <c r="W5" i="2"/>
  <c r="W6" i="2"/>
  <c r="W7" i="2"/>
  <c r="W8" i="2"/>
  <c r="W9" i="2"/>
  <c r="W10" i="2"/>
  <c r="W12" i="2"/>
  <c r="W13" i="2"/>
  <c r="W14" i="2"/>
  <c r="W15" i="2"/>
  <c r="W16" i="2"/>
  <c r="W17" i="2"/>
  <c r="W18" i="2"/>
  <c r="W19" i="2"/>
  <c r="W20" i="2"/>
  <c r="W21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7" i="2"/>
  <c r="H6" i="2"/>
  <c r="H20" i="2"/>
  <c r="H5" i="2"/>
  <c r="H4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26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4" i="2"/>
  <c r="E20" i="1" l="1"/>
  <c r="AD43" i="2" l="1"/>
  <c r="AA43" i="2"/>
  <c r="Z43" i="2"/>
  <c r="Y43" i="2"/>
  <c r="AD42" i="2"/>
  <c r="AA42" i="2"/>
  <c r="Z42" i="2"/>
  <c r="Y42" i="2"/>
  <c r="AD41" i="2"/>
  <c r="AA41" i="2"/>
  <c r="Z41" i="2"/>
  <c r="Y41" i="2"/>
  <c r="AD40" i="2"/>
  <c r="AA40" i="2"/>
  <c r="Z40" i="2"/>
  <c r="Y40" i="2"/>
  <c r="AD39" i="2"/>
  <c r="AA39" i="2"/>
  <c r="Z39" i="2"/>
  <c r="Y39" i="2"/>
  <c r="AD38" i="2"/>
  <c r="AA38" i="2"/>
  <c r="Z38" i="2"/>
  <c r="Y38" i="2"/>
  <c r="AD37" i="2"/>
  <c r="AA37" i="2"/>
  <c r="Z37" i="2"/>
  <c r="Y37" i="2"/>
  <c r="AD36" i="2"/>
  <c r="AA36" i="2"/>
  <c r="Z36" i="2"/>
  <c r="Y36" i="2"/>
  <c r="AD35" i="2"/>
  <c r="AA35" i="2"/>
  <c r="Z35" i="2"/>
  <c r="Y35" i="2"/>
  <c r="AD34" i="2"/>
  <c r="AA34" i="2"/>
  <c r="Z34" i="2"/>
  <c r="Y34" i="2"/>
  <c r="AD33" i="2"/>
  <c r="AA33" i="2"/>
  <c r="Z33" i="2"/>
  <c r="Y33" i="2"/>
  <c r="AD32" i="2"/>
  <c r="AA32" i="2"/>
  <c r="Z32" i="2"/>
  <c r="Y32" i="2"/>
  <c r="AD31" i="2"/>
  <c r="AA31" i="2"/>
  <c r="Z31" i="2"/>
  <c r="Y31" i="2"/>
  <c r="AD30" i="2"/>
  <c r="AA30" i="2"/>
  <c r="Z30" i="2"/>
  <c r="Y30" i="2"/>
  <c r="AD29" i="2"/>
  <c r="AA29" i="2"/>
  <c r="Z29" i="2"/>
  <c r="Y29" i="2"/>
  <c r="AD28" i="2"/>
  <c r="AA28" i="2"/>
  <c r="Z28" i="2"/>
  <c r="Y28" i="2"/>
  <c r="AD27" i="2"/>
  <c r="AA27" i="2"/>
  <c r="Z27" i="2"/>
  <c r="Y27" i="2"/>
  <c r="AD26" i="2"/>
  <c r="AA26" i="2"/>
  <c r="Z26" i="2"/>
  <c r="Y26" i="2"/>
  <c r="O43" i="2"/>
  <c r="L43" i="2"/>
  <c r="K43" i="2"/>
  <c r="J43" i="2"/>
  <c r="O42" i="2"/>
  <c r="L42" i="2"/>
  <c r="K42" i="2"/>
  <c r="J42" i="2"/>
  <c r="O41" i="2"/>
  <c r="L41" i="2"/>
  <c r="K41" i="2"/>
  <c r="J41" i="2"/>
  <c r="O40" i="2"/>
  <c r="L40" i="2"/>
  <c r="K40" i="2"/>
  <c r="J40" i="2"/>
  <c r="O39" i="2"/>
  <c r="L39" i="2"/>
  <c r="K39" i="2"/>
  <c r="J39" i="2"/>
  <c r="O38" i="2"/>
  <c r="L38" i="2"/>
  <c r="K38" i="2"/>
  <c r="J38" i="2"/>
  <c r="O37" i="2"/>
  <c r="L37" i="2"/>
  <c r="K37" i="2"/>
  <c r="J37" i="2"/>
  <c r="O36" i="2"/>
  <c r="L36" i="2"/>
  <c r="K36" i="2"/>
  <c r="J36" i="2"/>
  <c r="O35" i="2"/>
  <c r="L35" i="2"/>
  <c r="K35" i="2"/>
  <c r="J35" i="2"/>
  <c r="O34" i="2"/>
  <c r="L34" i="2"/>
  <c r="K34" i="2"/>
  <c r="J34" i="2"/>
  <c r="O33" i="2"/>
  <c r="L33" i="2"/>
  <c r="K33" i="2"/>
  <c r="J33" i="2"/>
  <c r="O32" i="2"/>
  <c r="L32" i="2"/>
  <c r="K32" i="2"/>
  <c r="J32" i="2"/>
  <c r="O31" i="2"/>
  <c r="L31" i="2"/>
  <c r="K31" i="2"/>
  <c r="J31" i="2"/>
  <c r="O30" i="2"/>
  <c r="L30" i="2"/>
  <c r="K30" i="2"/>
  <c r="J30" i="2"/>
  <c r="O29" i="2"/>
  <c r="L29" i="2"/>
  <c r="K29" i="2"/>
  <c r="J29" i="2"/>
  <c r="O28" i="2"/>
  <c r="L28" i="2"/>
  <c r="K28" i="2"/>
  <c r="J28" i="2"/>
  <c r="O27" i="2"/>
  <c r="L27" i="2"/>
  <c r="K27" i="2"/>
  <c r="J27" i="2"/>
  <c r="O26" i="2"/>
  <c r="L26" i="2"/>
  <c r="K26" i="2"/>
  <c r="J26" i="2"/>
  <c r="AD21" i="2"/>
  <c r="AA21" i="2"/>
  <c r="Z21" i="2"/>
  <c r="Y21" i="2"/>
  <c r="AD20" i="2"/>
  <c r="AA20" i="2"/>
  <c r="Z20" i="2"/>
  <c r="Y20" i="2"/>
  <c r="AD19" i="2"/>
  <c r="AA19" i="2"/>
  <c r="Z19" i="2"/>
  <c r="Y19" i="2"/>
  <c r="AD18" i="2"/>
  <c r="AA18" i="2"/>
  <c r="Z18" i="2"/>
  <c r="Y18" i="2"/>
  <c r="AD17" i="2"/>
  <c r="AA17" i="2"/>
  <c r="Z17" i="2"/>
  <c r="Y17" i="2"/>
  <c r="AD16" i="2"/>
  <c r="AA16" i="2"/>
  <c r="Z16" i="2"/>
  <c r="Y16" i="2"/>
  <c r="AD15" i="2"/>
  <c r="AA15" i="2"/>
  <c r="Z15" i="2"/>
  <c r="Y15" i="2"/>
  <c r="AD14" i="2"/>
  <c r="AA14" i="2"/>
  <c r="Z14" i="2"/>
  <c r="Y14" i="2"/>
  <c r="AD13" i="2"/>
  <c r="AA13" i="2"/>
  <c r="Z13" i="2"/>
  <c r="Y13" i="2"/>
  <c r="AD12" i="2"/>
  <c r="AA12" i="2"/>
  <c r="Z12" i="2"/>
  <c r="Y12" i="2"/>
  <c r="AD11" i="2"/>
  <c r="AA11" i="2"/>
  <c r="Z11" i="2"/>
  <c r="Y11" i="2"/>
  <c r="AD10" i="2"/>
  <c r="AA10" i="2"/>
  <c r="Z10" i="2"/>
  <c r="Y10" i="2"/>
  <c r="AD9" i="2"/>
  <c r="AA9" i="2"/>
  <c r="Z9" i="2"/>
  <c r="Y9" i="2"/>
  <c r="AD8" i="2"/>
  <c r="AA8" i="2"/>
  <c r="Z8" i="2"/>
  <c r="Y8" i="2"/>
  <c r="AD7" i="2"/>
  <c r="AA7" i="2"/>
  <c r="Z7" i="2"/>
  <c r="Y7" i="2"/>
  <c r="AD6" i="2"/>
  <c r="AA6" i="2"/>
  <c r="Z6" i="2"/>
  <c r="Y6" i="2"/>
  <c r="AD5" i="2"/>
  <c r="AA5" i="2"/>
  <c r="Z5" i="2"/>
  <c r="Y5" i="2"/>
  <c r="AD4" i="2"/>
  <c r="AA4" i="2"/>
  <c r="Z4" i="2"/>
  <c r="Y4" i="2"/>
  <c r="O21" i="2"/>
  <c r="L21" i="2"/>
  <c r="K21" i="2"/>
  <c r="J21" i="2"/>
  <c r="O20" i="2"/>
  <c r="L20" i="2"/>
  <c r="K20" i="2"/>
  <c r="J20" i="2"/>
  <c r="O19" i="2"/>
  <c r="L19" i="2"/>
  <c r="K19" i="2"/>
  <c r="J19" i="2"/>
  <c r="O18" i="2"/>
  <c r="L18" i="2"/>
  <c r="K18" i="2"/>
  <c r="J18" i="2"/>
  <c r="O17" i="2"/>
  <c r="L17" i="2"/>
  <c r="K17" i="2"/>
  <c r="J17" i="2"/>
  <c r="O16" i="2"/>
  <c r="L16" i="2"/>
  <c r="K16" i="2"/>
  <c r="J16" i="2"/>
  <c r="O15" i="2"/>
  <c r="L15" i="2"/>
  <c r="K15" i="2"/>
  <c r="J15" i="2"/>
  <c r="O14" i="2"/>
  <c r="L14" i="2"/>
  <c r="K14" i="2"/>
  <c r="J14" i="2"/>
  <c r="O13" i="2"/>
  <c r="L13" i="2"/>
  <c r="K13" i="2"/>
  <c r="J13" i="2"/>
  <c r="O12" i="2"/>
  <c r="L12" i="2"/>
  <c r="K12" i="2"/>
  <c r="J12" i="2"/>
  <c r="O11" i="2"/>
  <c r="L11" i="2"/>
  <c r="K11" i="2"/>
  <c r="J11" i="2"/>
  <c r="O10" i="2"/>
  <c r="L10" i="2"/>
  <c r="K10" i="2"/>
  <c r="J10" i="2"/>
  <c r="O9" i="2"/>
  <c r="L9" i="2"/>
  <c r="K9" i="2"/>
  <c r="J9" i="2"/>
  <c r="O8" i="2"/>
  <c r="L8" i="2"/>
  <c r="K8" i="2"/>
  <c r="J8" i="2"/>
  <c r="O7" i="2"/>
  <c r="L7" i="2"/>
  <c r="K7" i="2"/>
  <c r="J7" i="2"/>
  <c r="O6" i="2"/>
  <c r="L6" i="2"/>
  <c r="K6" i="2"/>
  <c r="J6" i="2"/>
  <c r="O5" i="2"/>
  <c r="L5" i="2"/>
  <c r="K5" i="2"/>
  <c r="J5" i="2"/>
  <c r="O4" i="2"/>
  <c r="L4" i="2"/>
  <c r="K4" i="2"/>
  <c r="J4" i="2"/>
  <c r="R7" i="2" l="1"/>
  <c r="T7" i="2" s="1"/>
  <c r="AE11" i="2"/>
  <c r="AG11" i="2" s="1"/>
  <c r="AE32" i="2"/>
  <c r="AE4" i="2"/>
  <c r="AG4" i="2" s="1"/>
  <c r="AE6" i="2"/>
  <c r="AE8" i="2"/>
  <c r="AE12" i="2"/>
  <c r="AE14" i="2"/>
  <c r="R26" i="2"/>
  <c r="T26" i="2" s="1"/>
  <c r="AE29" i="2"/>
  <c r="AG29" i="2" s="1"/>
  <c r="AE37" i="2"/>
  <c r="AG37" i="2" s="1"/>
  <c r="AE34" i="2"/>
  <c r="AE40" i="2"/>
  <c r="AG40" i="2" s="1"/>
  <c r="AE42" i="2"/>
  <c r="AE26" i="2"/>
  <c r="AG26" i="2" s="1"/>
  <c r="AE30" i="2"/>
  <c r="AE27" i="2"/>
  <c r="AE36" i="2"/>
  <c r="AE38" i="2"/>
  <c r="AE39" i="2"/>
  <c r="AG39" i="2" s="1"/>
  <c r="AE33" i="2"/>
  <c r="AG33" i="2" s="1"/>
  <c r="AE31" i="2"/>
  <c r="AE35" i="2"/>
  <c r="AE28" i="2"/>
  <c r="AE41" i="2"/>
  <c r="AE43" i="2"/>
  <c r="R42" i="2"/>
  <c r="R30" i="2"/>
  <c r="R38" i="2"/>
  <c r="R29" i="2"/>
  <c r="T29" i="2" s="1"/>
  <c r="R31" i="2"/>
  <c r="R37" i="2"/>
  <c r="T37" i="2" s="1"/>
  <c r="R39" i="2"/>
  <c r="T39" i="2" s="1"/>
  <c r="R27" i="2"/>
  <c r="R43" i="2"/>
  <c r="R33" i="2"/>
  <c r="T33" i="2" s="1"/>
  <c r="R41" i="2"/>
  <c r="R35" i="2"/>
  <c r="R28" i="2"/>
  <c r="R32" i="2"/>
  <c r="R34" i="2"/>
  <c r="R36" i="2"/>
  <c r="R40" i="2"/>
  <c r="T40" i="2" s="1"/>
  <c r="AE7" i="2"/>
  <c r="AG7" i="2" s="1"/>
  <c r="AE20" i="2"/>
  <c r="AE10" i="2"/>
  <c r="AE18" i="2"/>
  <c r="AG18" i="2" s="1"/>
  <c r="AE15" i="2"/>
  <c r="AG15" i="2" s="1"/>
  <c r="AE19" i="2"/>
  <c r="AE21" i="2"/>
  <c r="AE9" i="2"/>
  <c r="AE17" i="2"/>
  <c r="AG17" i="2" s="1"/>
  <c r="AE16" i="2"/>
  <c r="AE5" i="2"/>
  <c r="AE13" i="2"/>
  <c r="R20" i="2"/>
  <c r="R10" i="2"/>
  <c r="R15" i="2"/>
  <c r="T15" i="2" s="1"/>
  <c r="R17" i="2"/>
  <c r="T17" i="2" s="1"/>
  <c r="R19" i="2"/>
  <c r="R11" i="2"/>
  <c r="T11" i="2" s="1"/>
  <c r="R18" i="2"/>
  <c r="T18" i="2" s="1"/>
  <c r="R9" i="2"/>
  <c r="R16" i="2"/>
  <c r="R8" i="2"/>
  <c r="R5" i="2"/>
  <c r="R13" i="2"/>
  <c r="T4" i="2"/>
  <c r="R6" i="2"/>
  <c r="R21" i="2"/>
  <c r="R12" i="2"/>
  <c r="R14" i="2"/>
  <c r="AG44" i="2" l="1"/>
  <c r="T44" i="2"/>
  <c r="AG22" i="2"/>
  <c r="T22" i="2"/>
  <c r="H80" i="1"/>
  <c r="E80" i="1"/>
  <c r="H77" i="1"/>
  <c r="E77" i="1"/>
  <c r="H74" i="1"/>
  <c r="E74" i="1"/>
  <c r="H71" i="1"/>
  <c r="E71" i="1"/>
  <c r="H68" i="1"/>
  <c r="E68" i="1"/>
  <c r="H65" i="1"/>
  <c r="E65" i="1"/>
  <c r="H61" i="1"/>
  <c r="E61" i="1"/>
  <c r="H58" i="1"/>
  <c r="E58" i="1"/>
  <c r="H55" i="1"/>
  <c r="E55" i="1"/>
  <c r="H52" i="1"/>
  <c r="E52" i="1"/>
  <c r="H49" i="1"/>
  <c r="E49" i="1"/>
  <c r="H46" i="1"/>
  <c r="E46" i="1"/>
  <c r="H42" i="1"/>
  <c r="H39" i="1"/>
  <c r="E39" i="1"/>
  <c r="H36" i="1"/>
  <c r="E36" i="1"/>
  <c r="H33" i="1"/>
  <c r="E33" i="1"/>
  <c r="H30" i="1"/>
  <c r="E30" i="1"/>
  <c r="G30" i="1" s="1"/>
  <c r="M30" i="1" s="1"/>
  <c r="H27" i="1"/>
  <c r="F23" i="1"/>
  <c r="J23" i="1" s="1"/>
  <c r="E23" i="1"/>
  <c r="I23" i="1" s="1"/>
  <c r="F20" i="1"/>
  <c r="J20" i="1" s="1"/>
  <c r="I20" i="1"/>
  <c r="F17" i="1"/>
  <c r="J17" i="1" s="1"/>
  <c r="E17" i="1"/>
  <c r="I17" i="1" s="1"/>
  <c r="F14" i="1"/>
  <c r="J14" i="1" s="1"/>
  <c r="E14" i="1"/>
  <c r="I14" i="1" s="1"/>
  <c r="F11" i="1"/>
  <c r="J11" i="1" s="1"/>
  <c r="E11" i="1"/>
  <c r="I11" i="1" s="1"/>
  <c r="F8" i="1"/>
  <c r="J8" i="1" s="1"/>
  <c r="I8" i="1"/>
  <c r="J58" i="1" l="1"/>
  <c r="N58" i="1" s="1"/>
  <c r="J71" i="1"/>
  <c r="N71" i="1" s="1"/>
  <c r="J33" i="1"/>
  <c r="N33" i="1" s="1"/>
  <c r="J49" i="1"/>
  <c r="N49" i="1" s="1"/>
  <c r="J61" i="1"/>
  <c r="N61" i="1" s="1"/>
  <c r="J74" i="1"/>
  <c r="N74" i="1" s="1"/>
  <c r="J46" i="1"/>
  <c r="N46" i="1" s="1"/>
  <c r="J36" i="1"/>
  <c r="N36" i="1" s="1"/>
  <c r="J27" i="1"/>
  <c r="N27" i="1" s="1"/>
  <c r="J39" i="1"/>
  <c r="N39" i="1" s="1"/>
  <c r="J52" i="1"/>
  <c r="N52" i="1" s="1"/>
  <c r="J65" i="1"/>
  <c r="N65" i="1" s="1"/>
  <c r="J77" i="1"/>
  <c r="N77" i="1" s="1"/>
  <c r="J30" i="1"/>
  <c r="N30" i="1" s="1"/>
  <c r="J42" i="1"/>
  <c r="N42" i="1" s="1"/>
  <c r="J55" i="1"/>
  <c r="N55" i="1" s="1"/>
  <c r="J68" i="1"/>
  <c r="N68" i="1" s="1"/>
  <c r="J80" i="1"/>
  <c r="N80" i="1" s="1"/>
  <c r="G36" i="1"/>
  <c r="M36" i="1" s="1"/>
  <c r="G49" i="1"/>
  <c r="M49" i="1" s="1"/>
  <c r="G61" i="1"/>
  <c r="M61" i="1" s="1"/>
  <c r="G74" i="1"/>
  <c r="M74" i="1" s="1"/>
  <c r="G39" i="1"/>
  <c r="M39" i="1" s="1"/>
  <c r="G52" i="1"/>
  <c r="M52" i="1" s="1"/>
  <c r="G65" i="1"/>
  <c r="M65" i="1" s="1"/>
  <c r="G77" i="1"/>
  <c r="M77" i="1" s="1"/>
  <c r="M27" i="1"/>
  <c r="G42" i="1"/>
  <c r="M42" i="1" s="1"/>
  <c r="G55" i="1"/>
  <c r="M55" i="1" s="1"/>
  <c r="G68" i="1"/>
  <c r="M68" i="1" s="1"/>
  <c r="G80" i="1"/>
  <c r="M80" i="1" s="1"/>
  <c r="G33" i="1"/>
  <c r="M33" i="1" s="1"/>
  <c r="G46" i="1"/>
  <c r="M46" i="1" s="1"/>
  <c r="G58" i="1"/>
  <c r="M58" i="1" s="1"/>
  <c r="G71" i="1"/>
  <c r="M7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90116cr" type="6" refreshedVersion="5" background="1" saveData="1">
    <textPr codePage="437" sourceFile="C:\Elandata\ReportOutput\190116cr.rep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<sst xmlns="http://schemas.openxmlformats.org/spreadsheetml/2006/main" count="261" uniqueCount="116">
  <si>
    <t>Summary by Sample</t>
  </si>
  <si>
    <t>Ag-107107</t>
  </si>
  <si>
    <t>blank 1% HNO3</t>
  </si>
  <si>
    <t>10 ppb Ag</t>
  </si>
  <si>
    <t>50 ppb Ag</t>
  </si>
  <si>
    <t>100 ppb Ag</t>
  </si>
  <si>
    <t>200 ppb Ag</t>
  </si>
  <si>
    <t>10 PPB</t>
  </si>
  <si>
    <t>1L 3.5 1</t>
  </si>
  <si>
    <t>1L 3.5 2</t>
  </si>
  <si>
    <t>1L 3.5 3</t>
  </si>
  <si>
    <t>1L 5 1</t>
  </si>
  <si>
    <t>1L 5 2</t>
  </si>
  <si>
    <t>1L 5 3</t>
  </si>
  <si>
    <t>1L 7 1</t>
  </si>
  <si>
    <t>1L 7 2</t>
  </si>
  <si>
    <t>1L 7 3</t>
  </si>
  <si>
    <t>1L 9 1</t>
  </si>
  <si>
    <t>1L 9 2</t>
  </si>
  <si>
    <t>1L 9 3</t>
  </si>
  <si>
    <t>1L 10 1</t>
  </si>
  <si>
    <t>1L 10 2</t>
  </si>
  <si>
    <t>1L 10 3</t>
  </si>
  <si>
    <t>1L 10.5 1</t>
  </si>
  <si>
    <t>1L 10.5 2</t>
  </si>
  <si>
    <t>1L 10.5 3</t>
  </si>
  <si>
    <t>50 PPB</t>
  </si>
  <si>
    <t>2L 3.5 1</t>
  </si>
  <si>
    <t>2L 3.5 2</t>
  </si>
  <si>
    <t>2L 3.5 3</t>
  </si>
  <si>
    <t>2L 5 1</t>
  </si>
  <si>
    <t>2L 5 2</t>
  </si>
  <si>
    <t>2L 5 3</t>
  </si>
  <si>
    <t>2L 7 1</t>
  </si>
  <si>
    <t>2L 7 2</t>
  </si>
  <si>
    <t>2L 7 3</t>
  </si>
  <si>
    <t>2L 9 1</t>
  </si>
  <si>
    <t>2L 9 2</t>
  </si>
  <si>
    <t>2L 9 3</t>
  </si>
  <si>
    <t>2L 10 1</t>
  </si>
  <si>
    <t>2L 10 2</t>
  </si>
  <si>
    <t>2L 10 3</t>
  </si>
  <si>
    <t>2L 10.5 1</t>
  </si>
  <si>
    <t>2L 10.5 2</t>
  </si>
  <si>
    <t>2L 10.5 3</t>
  </si>
  <si>
    <t>100 PPB</t>
  </si>
  <si>
    <t>5L 3.5 1</t>
  </si>
  <si>
    <t>5L 3.5 2</t>
  </si>
  <si>
    <t>5L 3.5 3</t>
  </si>
  <si>
    <t>5L 5 1</t>
  </si>
  <si>
    <t>5L 5 2</t>
  </si>
  <si>
    <t>5L 5 3</t>
  </si>
  <si>
    <t>5L 7 1</t>
  </si>
  <si>
    <t>5L 7 2</t>
  </si>
  <si>
    <t>5L 7 3</t>
  </si>
  <si>
    <t>5L 9 1</t>
  </si>
  <si>
    <t>5L 9 2</t>
  </si>
  <si>
    <t>5L 9 3</t>
  </si>
  <si>
    <t>5L 10 1</t>
  </si>
  <si>
    <t>5L 10 2</t>
  </si>
  <si>
    <t>5L 10 3</t>
  </si>
  <si>
    <t>5L 10.5 1</t>
  </si>
  <si>
    <t>5L 10.5 2</t>
  </si>
  <si>
    <t>5L 10.5 3</t>
  </si>
  <si>
    <t>200 PPB</t>
  </si>
  <si>
    <t>pH</t>
  </si>
  <si>
    <t>Silver Conc</t>
  </si>
  <si>
    <t>Conversion from
ug/L to Ag sites</t>
  </si>
  <si>
    <t xml:space="preserve">Membrane 
Area </t>
  </si>
  <si>
    <t>Ag sites/nm^2</t>
  </si>
  <si>
    <t>Membrane 
Area (nm)</t>
  </si>
  <si>
    <t>StdDev</t>
  </si>
  <si>
    <t>Avg - Back</t>
  </si>
  <si>
    <t>StdDev - Back</t>
  </si>
  <si>
    <t>Avg Conc. (ug/L)</t>
  </si>
  <si>
    <t>NF270</t>
  </si>
  <si>
    <t>1L PIP</t>
  </si>
  <si>
    <t>5L PIP</t>
  </si>
  <si>
    <t>2L PIP</t>
  </si>
  <si>
    <t>pKa1</t>
  </si>
  <si>
    <t>pKa2</t>
  </si>
  <si>
    <t>Ka1</t>
  </si>
  <si>
    <t>Ka2</t>
  </si>
  <si>
    <t>[H+]</t>
  </si>
  <si>
    <t>Total Density</t>
  </si>
  <si>
    <t>w1</t>
  </si>
  <si>
    <t>w2</t>
  </si>
  <si>
    <t>Fitting Line</t>
  </si>
  <si>
    <t>PSf 3.5 1</t>
  </si>
  <si>
    <t>PSf 3.5 2</t>
  </si>
  <si>
    <t>PSf 3.5 3</t>
  </si>
  <si>
    <t>PSf 5 1</t>
  </si>
  <si>
    <t>PSf 5 2</t>
  </si>
  <si>
    <t>PSf 5 3</t>
  </si>
  <si>
    <t>PSf 7 1</t>
  </si>
  <si>
    <t>PSf 7 2</t>
  </si>
  <si>
    <t>PSf 7 3</t>
  </si>
  <si>
    <t>PSf 9 1</t>
  </si>
  <si>
    <t>PSf 9 2</t>
  </si>
  <si>
    <t>PSf 9 3</t>
  </si>
  <si>
    <t>PSf 10 1</t>
  </si>
  <si>
    <t>PSf 10 2</t>
  </si>
  <si>
    <t>PSf 10 3</t>
  </si>
  <si>
    <t>PSf 10.5 1</t>
  </si>
  <si>
    <t>PSf 10.5 2</t>
  </si>
  <si>
    <t>PSf 10.5 3</t>
  </si>
  <si>
    <t>Actual Value</t>
  </si>
  <si>
    <t>Sq. Error</t>
  </si>
  <si>
    <t>SUM</t>
  </si>
  <si>
    <t>Guess:</t>
  </si>
  <si>
    <t>Thickness (nm)</t>
  </si>
  <si>
    <t>Total</t>
  </si>
  <si>
    <t>PSf Background</t>
  </si>
  <si>
    <t>PSf Back</t>
  </si>
  <si>
    <t>pKa1 fit</t>
  </si>
  <si>
    <t>pKa2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</si>
</sst>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Data!$N$27:$N$42</c:f>
                <c:numCache>
                  <c:formatCode>General</c:formatCode>
                  <c:ptCount val="16"/>
                  <c:pt idx="0">
                    <c:v>3.5618058126341334E-2</c:v>
                  </c:pt>
                  <c:pt idx="3">
                    <c:v>9.2444513838640958E-3</c:v>
                  </c:pt>
                  <c:pt idx="6">
                    <c:v>0.13548975588057455</c:v>
                  </c:pt>
                  <c:pt idx="9">
                    <c:v>0.41473562208781861</c:v>
                  </c:pt>
                  <c:pt idx="12">
                    <c:v>0.2090742121348014</c:v>
                  </c:pt>
                  <c:pt idx="15">
                    <c:v>7.7481239854570713E-2</c:v>
                  </c:pt>
                </c:numCache>
              </c:numRef>
            </c:plus>
            <c:minus>
              <c:numRef>
                <c:f>Data!$N$27:$N$42</c:f>
                <c:numCache>
                  <c:formatCode>General</c:formatCode>
                  <c:ptCount val="16"/>
                  <c:pt idx="0">
                    <c:v>3.5618058126341334E-2</c:v>
                  </c:pt>
                  <c:pt idx="3">
                    <c:v>9.2444513838640958E-3</c:v>
                  </c:pt>
                  <c:pt idx="6">
                    <c:v>0.13548975588057455</c:v>
                  </c:pt>
                  <c:pt idx="9">
                    <c:v>0.41473562208781861</c:v>
                  </c:pt>
                  <c:pt idx="12">
                    <c:v>0.2090742121348014</c:v>
                  </c:pt>
                  <c:pt idx="15">
                    <c:v>7.7481239854570713E-2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Data!$D$27:$D$43</c:f>
              <c:numCache>
                <c:formatCode>General</c:formatCode>
                <c:ptCount val="17"/>
                <c:pt idx="0">
                  <c:v>3.5</c:v>
                </c:pt>
                <c:pt idx="3">
                  <c:v>5</c:v>
                </c:pt>
                <c:pt idx="6">
                  <c:v>7</c:v>
                </c:pt>
                <c:pt idx="9">
                  <c:v>9</c:v>
                </c:pt>
                <c:pt idx="12">
                  <c:v>10</c:v>
                </c:pt>
                <c:pt idx="15">
                  <c:v>10.5</c:v>
                </c:pt>
              </c:numCache>
            </c:numRef>
          </c:xVal>
          <c:yVal>
            <c:numRef>
              <c:f>Data!$M$27:$M$43</c:f>
              <c:numCache>
                <c:formatCode>General</c:formatCode>
                <c:ptCount val="17"/>
                <c:pt idx="0">
                  <c:v>0.2265154060084035</c:v>
                </c:pt>
                <c:pt idx="3">
                  <c:v>0.17294122284459021</c:v>
                </c:pt>
                <c:pt idx="6">
                  <c:v>0.91781034841164311</c:v>
                </c:pt>
                <c:pt idx="9">
                  <c:v>2.76564971858808</c:v>
                </c:pt>
                <c:pt idx="12">
                  <c:v>7.5257628875904024</c:v>
                </c:pt>
                <c:pt idx="15">
                  <c:v>7.0849507489267465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0-4CB6-8E3D-84994FAC45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Data!$N$46:$N$61</c:f>
                <c:numCache>
                  <c:formatCode>General</c:formatCode>
                  <c:ptCount val="16"/>
                  <c:pt idx="0">
                    <c:v>3.574810465736223E-2</c:v>
                  </c:pt>
                  <c:pt idx="3">
                    <c:v>6.458160604612434E-2</c:v>
                  </c:pt>
                  <c:pt idx="6">
                    <c:v>6.7557785550525967E-2</c:v>
                  </c:pt>
                  <c:pt idx="9">
                    <c:v>0.6685202905580343</c:v>
                  </c:pt>
                  <c:pt idx="12">
                    <c:v>0.32921723274424625</c:v>
                  </c:pt>
                  <c:pt idx="15">
                    <c:v>0.80109836165995729</c:v>
                  </c:pt>
                </c:numCache>
              </c:numRef>
            </c:plus>
            <c:minus>
              <c:numRef>
                <c:f>Data!$N$46:$N$61</c:f>
                <c:numCache>
                  <c:formatCode>General</c:formatCode>
                  <c:ptCount val="16"/>
                  <c:pt idx="0">
                    <c:v>3.574810465736223E-2</c:v>
                  </c:pt>
                  <c:pt idx="3">
                    <c:v>6.458160604612434E-2</c:v>
                  </c:pt>
                  <c:pt idx="6">
                    <c:v>6.7557785550525967E-2</c:v>
                  </c:pt>
                  <c:pt idx="9">
                    <c:v>0.6685202905580343</c:v>
                  </c:pt>
                  <c:pt idx="12">
                    <c:v>0.32921723274424625</c:v>
                  </c:pt>
                  <c:pt idx="15">
                    <c:v>0.80109836165995729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Data!$D$46:$D$61</c:f>
              <c:numCache>
                <c:formatCode>General</c:formatCode>
                <c:ptCount val="16"/>
                <c:pt idx="0">
                  <c:v>3.5</c:v>
                </c:pt>
                <c:pt idx="3">
                  <c:v>5</c:v>
                </c:pt>
                <c:pt idx="6">
                  <c:v>7</c:v>
                </c:pt>
                <c:pt idx="9">
                  <c:v>9</c:v>
                </c:pt>
                <c:pt idx="12">
                  <c:v>10</c:v>
                </c:pt>
                <c:pt idx="15">
                  <c:v>10.5</c:v>
                </c:pt>
              </c:numCache>
            </c:numRef>
          </c:xVal>
          <c:yVal>
            <c:numRef>
              <c:f>Data!$M$46:$M$61</c:f>
              <c:numCache>
                <c:formatCode>General</c:formatCode>
                <c:ptCount val="16"/>
                <c:pt idx="0">
                  <c:v>0.18093035542165017</c:v>
                </c:pt>
                <c:pt idx="3">
                  <c:v>0.2448434160381292</c:v>
                </c:pt>
                <c:pt idx="6">
                  <c:v>0.29324816047560953</c:v>
                </c:pt>
                <c:pt idx="9">
                  <c:v>4.5185593957900423</c:v>
                </c:pt>
                <c:pt idx="12">
                  <c:v>11.233660301296426</c:v>
                </c:pt>
                <c:pt idx="15">
                  <c:v>14.660528227879992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70-4CB6-8E3D-84994FAC45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Data!$N$65:$N$80</c:f>
                <c:numCache>
                  <c:formatCode>General</c:formatCode>
                  <c:ptCount val="16"/>
                  <c:pt idx="0">
                    <c:v>6.436608770297679E-2</c:v>
                  </c:pt>
                  <c:pt idx="3">
                    <c:v>0.1021436305607927</c:v>
                  </c:pt>
                  <c:pt idx="6">
                    <c:v>0.24124483694145538</c:v>
                  </c:pt>
                  <c:pt idx="9">
                    <c:v>0.93066666907176399</c:v>
                  </c:pt>
                  <c:pt idx="12">
                    <c:v>1.040700994246224</c:v>
                  </c:pt>
                  <c:pt idx="15">
                    <c:v>1.9718296441072742</c:v>
                  </c:pt>
                </c:numCache>
              </c:numRef>
            </c:plus>
            <c:minus>
              <c:numRef>
                <c:f>Data!$N$65:$N$80</c:f>
                <c:numCache>
                  <c:formatCode>General</c:formatCode>
                  <c:ptCount val="16"/>
                  <c:pt idx="0">
                    <c:v>6.436608770297679E-2</c:v>
                  </c:pt>
                  <c:pt idx="3">
                    <c:v>0.1021436305607927</c:v>
                  </c:pt>
                  <c:pt idx="6">
                    <c:v>0.24124483694145538</c:v>
                  </c:pt>
                  <c:pt idx="9">
                    <c:v>0.93066666907176399</c:v>
                  </c:pt>
                  <c:pt idx="12">
                    <c:v>1.040700994246224</c:v>
                  </c:pt>
                  <c:pt idx="15">
                    <c:v>1.9718296441072742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Data!$D$65:$D$80</c:f>
              <c:numCache>
                <c:formatCode>General</c:formatCode>
                <c:ptCount val="16"/>
                <c:pt idx="0">
                  <c:v>3.5</c:v>
                </c:pt>
                <c:pt idx="3">
                  <c:v>5</c:v>
                </c:pt>
                <c:pt idx="6">
                  <c:v>7</c:v>
                </c:pt>
                <c:pt idx="9">
                  <c:v>9</c:v>
                </c:pt>
                <c:pt idx="12">
                  <c:v>10</c:v>
                </c:pt>
                <c:pt idx="15">
                  <c:v>10.5</c:v>
                </c:pt>
              </c:numCache>
            </c:numRef>
          </c:xVal>
          <c:yVal>
            <c:numRef>
              <c:f>Data!$M$65:$M$80</c:f>
              <c:numCache>
                <c:formatCode>General</c:formatCode>
                <c:ptCount val="16"/>
                <c:pt idx="0">
                  <c:v>0.28572897687367083</c:v>
                </c:pt>
                <c:pt idx="3">
                  <c:v>0.5019055054294087</c:v>
                </c:pt>
                <c:pt idx="6">
                  <c:v>0.78481478845235253</c:v>
                </c:pt>
                <c:pt idx="9">
                  <c:v>7.2865588592537298</c:v>
                </c:pt>
                <c:pt idx="12">
                  <c:v>15.914352093503275</c:v>
                </c:pt>
                <c:pt idx="15">
                  <c:v>24.158197015078823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70-4CB6-8E3D-84994FAC45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Data!$L$8:$L$13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Data!$S$8:$S$13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D-4355-90D4-27B42350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82672"/>
        <c:axId val="809436288"/>
      </c:scatterChart>
      <c:valAx>
        <c:axId val="8121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36288"/>
        <c:crosses val="autoZero"/>
        <c:crossBetween val="midCat"/>
      </c:valAx>
      <c:valAx>
        <c:axId val="809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Data!$N$27:$N$42</c:f>
                <c:numCache>
                  <c:formatCode>General</c:formatCode>
                  <c:ptCount val="16"/>
                  <c:pt idx="0">
                    <c:v>3.5618058126341334E-2</c:v>
                  </c:pt>
                  <c:pt idx="3">
                    <c:v>9.2444513838640958E-3</c:v>
                  </c:pt>
                  <c:pt idx="6">
                    <c:v>0.13548975588057455</c:v>
                  </c:pt>
                  <c:pt idx="9">
                    <c:v>0.41473562208781861</c:v>
                  </c:pt>
                  <c:pt idx="12">
                    <c:v>0.2090742121348014</c:v>
                  </c:pt>
                  <c:pt idx="15">
                    <c:v>7.7481239854570713E-2</c:v>
                  </c:pt>
                </c:numCache>
              </c:numRef>
            </c:plus>
            <c:minus>
              <c:numRef>
                <c:f>Data!$N$27:$N$42</c:f>
                <c:numCache>
                  <c:formatCode>General</c:formatCode>
                  <c:ptCount val="16"/>
                  <c:pt idx="0">
                    <c:v>3.5618058126341334E-2</c:v>
                  </c:pt>
                  <c:pt idx="3">
                    <c:v>9.2444513838640958E-3</c:v>
                  </c:pt>
                  <c:pt idx="6">
                    <c:v>0.13548975588057455</c:v>
                  </c:pt>
                  <c:pt idx="9">
                    <c:v>0.41473562208781861</c:v>
                  </c:pt>
                  <c:pt idx="12">
                    <c:v>0.2090742121348014</c:v>
                  </c:pt>
                  <c:pt idx="15">
                    <c:v>7.7481239854570713E-2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Data!$D$27:$D$43</c:f>
              <c:numCache>
                <c:formatCode>General</c:formatCode>
                <c:ptCount val="17"/>
                <c:pt idx="0">
                  <c:v>3.5</c:v>
                </c:pt>
                <c:pt idx="3">
                  <c:v>5</c:v>
                </c:pt>
                <c:pt idx="6">
                  <c:v>7</c:v>
                </c:pt>
                <c:pt idx="9">
                  <c:v>9</c:v>
                </c:pt>
                <c:pt idx="12">
                  <c:v>10</c:v>
                </c:pt>
                <c:pt idx="15">
                  <c:v>10.5</c:v>
                </c:pt>
              </c:numCache>
            </c:numRef>
          </c:xVal>
          <c:yVal>
            <c:numRef>
              <c:f>Data!$M$27:$M$43</c:f>
              <c:numCache>
                <c:formatCode>General</c:formatCode>
                <c:ptCount val="17"/>
                <c:pt idx="0">
                  <c:v>0.2265154060084035</c:v>
                </c:pt>
                <c:pt idx="3">
                  <c:v>0.17294122284459021</c:v>
                </c:pt>
                <c:pt idx="6">
                  <c:v>0.91781034841164311</c:v>
                </c:pt>
                <c:pt idx="9">
                  <c:v>2.76564971858808</c:v>
                </c:pt>
                <c:pt idx="12">
                  <c:v>7.5257628875904024</c:v>
                </c:pt>
                <c:pt idx="15">
                  <c:v>7.0849507489267465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6-4FE9-9F42-B9DB70E816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Data!$N$46:$N$61</c:f>
                <c:numCache>
                  <c:formatCode>General</c:formatCode>
                  <c:ptCount val="16"/>
                  <c:pt idx="0">
                    <c:v>3.574810465736223E-2</c:v>
                  </c:pt>
                  <c:pt idx="3">
                    <c:v>6.458160604612434E-2</c:v>
                  </c:pt>
                  <c:pt idx="6">
                    <c:v>6.7557785550525967E-2</c:v>
                  </c:pt>
                  <c:pt idx="9">
                    <c:v>0.6685202905580343</c:v>
                  </c:pt>
                  <c:pt idx="12">
                    <c:v>0.32921723274424625</c:v>
                  </c:pt>
                  <c:pt idx="15">
                    <c:v>0.80109836165995729</c:v>
                  </c:pt>
                </c:numCache>
              </c:numRef>
            </c:plus>
            <c:minus>
              <c:numRef>
                <c:f>Data!$N$46:$N$61</c:f>
                <c:numCache>
                  <c:formatCode>General</c:formatCode>
                  <c:ptCount val="16"/>
                  <c:pt idx="0">
                    <c:v>3.574810465736223E-2</c:v>
                  </c:pt>
                  <c:pt idx="3">
                    <c:v>6.458160604612434E-2</c:v>
                  </c:pt>
                  <c:pt idx="6">
                    <c:v>6.7557785550525967E-2</c:v>
                  </c:pt>
                  <c:pt idx="9">
                    <c:v>0.6685202905580343</c:v>
                  </c:pt>
                  <c:pt idx="12">
                    <c:v>0.32921723274424625</c:v>
                  </c:pt>
                  <c:pt idx="15">
                    <c:v>0.80109836165995729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Data!$D$46:$D$61</c:f>
              <c:numCache>
                <c:formatCode>General</c:formatCode>
                <c:ptCount val="16"/>
                <c:pt idx="0">
                  <c:v>3.5</c:v>
                </c:pt>
                <c:pt idx="3">
                  <c:v>5</c:v>
                </c:pt>
                <c:pt idx="6">
                  <c:v>7</c:v>
                </c:pt>
                <c:pt idx="9">
                  <c:v>9</c:v>
                </c:pt>
                <c:pt idx="12">
                  <c:v>10</c:v>
                </c:pt>
                <c:pt idx="15">
                  <c:v>10.5</c:v>
                </c:pt>
              </c:numCache>
            </c:numRef>
          </c:xVal>
          <c:yVal>
            <c:numRef>
              <c:f>Data!$M$46:$M$61</c:f>
              <c:numCache>
                <c:formatCode>General</c:formatCode>
                <c:ptCount val="16"/>
                <c:pt idx="0">
                  <c:v>0.18093035542165017</c:v>
                </c:pt>
                <c:pt idx="3">
                  <c:v>0.2448434160381292</c:v>
                </c:pt>
                <c:pt idx="6">
                  <c:v>0.29324816047560953</c:v>
                </c:pt>
                <c:pt idx="9">
                  <c:v>4.5185593957900423</c:v>
                </c:pt>
                <c:pt idx="12">
                  <c:v>11.233660301296426</c:v>
                </c:pt>
                <c:pt idx="15">
                  <c:v>14.660528227879992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6-4FE9-9F42-B9DB70E816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Data!$N$65:$N$80</c:f>
                <c:numCache>
                  <c:formatCode>General</c:formatCode>
                  <c:ptCount val="16"/>
                  <c:pt idx="0">
                    <c:v>6.436608770297679E-2</c:v>
                  </c:pt>
                  <c:pt idx="3">
                    <c:v>0.1021436305607927</c:v>
                  </c:pt>
                  <c:pt idx="6">
                    <c:v>0.24124483694145538</c:v>
                  </c:pt>
                  <c:pt idx="9">
                    <c:v>0.93066666907176399</c:v>
                  </c:pt>
                  <c:pt idx="12">
                    <c:v>1.040700994246224</c:v>
                  </c:pt>
                  <c:pt idx="15">
                    <c:v>1.9718296441072742</c:v>
                  </c:pt>
                </c:numCache>
              </c:numRef>
            </c:plus>
            <c:minus>
              <c:numRef>
                <c:f>Data!$N$65:$N$80</c:f>
                <c:numCache>
                  <c:formatCode>General</c:formatCode>
                  <c:ptCount val="16"/>
                  <c:pt idx="0">
                    <c:v>6.436608770297679E-2</c:v>
                  </c:pt>
                  <c:pt idx="3">
                    <c:v>0.1021436305607927</c:v>
                  </c:pt>
                  <c:pt idx="6">
                    <c:v>0.24124483694145538</c:v>
                  </c:pt>
                  <c:pt idx="9">
                    <c:v>0.93066666907176399</c:v>
                  </c:pt>
                  <c:pt idx="12">
                    <c:v>1.040700994246224</c:v>
                  </c:pt>
                  <c:pt idx="15">
                    <c:v>1.9718296441072742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Data!$D$65:$D$80</c:f>
              <c:numCache>
                <c:formatCode>General</c:formatCode>
                <c:ptCount val="16"/>
                <c:pt idx="0">
                  <c:v>3.5</c:v>
                </c:pt>
                <c:pt idx="3">
                  <c:v>5</c:v>
                </c:pt>
                <c:pt idx="6">
                  <c:v>7</c:v>
                </c:pt>
                <c:pt idx="9">
                  <c:v>9</c:v>
                </c:pt>
                <c:pt idx="12">
                  <c:v>10</c:v>
                </c:pt>
                <c:pt idx="15">
                  <c:v>10.5</c:v>
                </c:pt>
              </c:numCache>
            </c:numRef>
          </c:xVal>
          <c:yVal>
            <c:numRef>
              <c:f>Data!$M$65:$M$80</c:f>
              <c:numCache>
                <c:formatCode>General</c:formatCode>
                <c:ptCount val="16"/>
                <c:pt idx="0">
                  <c:v>0.28572897687367083</c:v>
                </c:pt>
                <c:pt idx="3">
                  <c:v>0.5019055054294087</c:v>
                </c:pt>
                <c:pt idx="6">
                  <c:v>0.78481478845235253</c:v>
                </c:pt>
                <c:pt idx="9">
                  <c:v>7.2865588592537298</c:v>
                </c:pt>
                <c:pt idx="12">
                  <c:v>15.914352093503275</c:v>
                </c:pt>
                <c:pt idx="15">
                  <c:v>24.158197015078823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6-4FE9-9F42-B9DB70E816E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Data!$L$8:$L$13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Data!$S$8:$S$13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6-4FE9-9F42-B9DB70E816EC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'Fitting Lines'!$G$4:$G$21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'Fitting Lines'!$R$4:$R$21</c:f>
              <c:numCache>
                <c:formatCode>0.000</c:formatCode>
                <c:ptCount val="18"/>
                <c:pt idx="0">
                  <c:v>6.9025464583969617E-3</c:v>
                </c:pt>
                <c:pt idx="1">
                  <c:v>2.1480207641384041E-2</c:v>
                </c:pt>
                <c:pt idx="2">
                  <c:v>6.467057502013894E-2</c:v>
                </c:pt>
                <c:pt idx="3">
                  <c:v>0.1776006264059902</c:v>
                </c:pt>
                <c:pt idx="4">
                  <c:v>0.39680100641487037</c:v>
                </c:pt>
                <c:pt idx="5">
                  <c:v>0.65239543889199292</c:v>
                </c:pt>
                <c:pt idx="6">
                  <c:v>0.82711559199354578</c:v>
                </c:pt>
                <c:pt idx="7">
                  <c:v>0.93266955643276739</c:v>
                </c:pt>
                <c:pt idx="8">
                  <c:v>1.0662828540485778</c:v>
                </c:pt>
                <c:pt idx="9">
                  <c:v>1.3957387255106455</c:v>
                </c:pt>
                <c:pt idx="10">
                  <c:v>2.2323189494675839</c:v>
                </c:pt>
                <c:pt idx="11">
                  <c:v>3.8257739351229638</c:v>
                </c:pt>
                <c:pt idx="12">
                  <c:v>5.6300072792310765</c:v>
                </c:pt>
                <c:pt idx="13">
                  <c:v>6.7799883606665148</c:v>
                </c:pt>
                <c:pt idx="14">
                  <c:v>7.2702083552629331</c:v>
                </c:pt>
                <c:pt idx="15">
                  <c:v>7.4427545131657293</c:v>
                </c:pt>
                <c:pt idx="16">
                  <c:v>7.4992859260983256</c:v>
                </c:pt>
                <c:pt idx="17">
                  <c:v>7.5173671363013508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6-4FE9-9F42-B9DB70E816EC}"/>
            </c:ext>
          </c:extLst>
        </c:ser>
        <c:ser>
          <c:idx val="5"/>
          <c:order val="5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'Fitting Lines'!$V$4:$V$21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'Fitting Lines'!$AE$4:$AE$21</c:f>
              <c:numCache>
                <c:formatCode>0.000</c:formatCode>
                <c:ptCount val="18"/>
                <c:pt idx="0">
                  <c:v>5.9404443205468985E-3</c:v>
                </c:pt>
                <c:pt idx="1">
                  <c:v>1.8001139532024899E-2</c:v>
                </c:pt>
                <c:pt idx="2">
                  <c:v>5.0289614933841341E-2</c:v>
                </c:pt>
                <c:pt idx="3">
                  <c:v>0.11625531581678425</c:v>
                </c:pt>
                <c:pt idx="4">
                  <c:v>0.19916927522713299</c:v>
                </c:pt>
                <c:pt idx="5">
                  <c:v>0.25984099827055712</c:v>
                </c:pt>
                <c:pt idx="6">
                  <c:v>0.29773367873301693</c:v>
                </c:pt>
                <c:pt idx="7">
                  <c:v>0.3462250638855971</c:v>
                </c:pt>
                <c:pt idx="8">
                  <c:v>0.47231975436058277</c:v>
                </c:pt>
                <c:pt idx="9">
                  <c:v>0.84894631118167796</c:v>
                </c:pt>
                <c:pt idx="10">
                  <c:v>1.9163850589764564</c:v>
                </c:pt>
                <c:pt idx="11">
                  <c:v>4.4188823630879499</c:v>
                </c:pt>
                <c:pt idx="12">
                  <c:v>8.3422117359131711</c:v>
                </c:pt>
                <c:pt idx="13">
                  <c:v>11.803358792016668</c:v>
                </c:pt>
                <c:pt idx="14">
                  <c:v>13.614820101555006</c:v>
                </c:pt>
                <c:pt idx="15">
                  <c:v>14.312527436549683</c:v>
                </c:pt>
                <c:pt idx="16">
                  <c:v>14.548627432259819</c:v>
                </c:pt>
                <c:pt idx="17">
                  <c:v>14.624952630949355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6-4FE9-9F42-B9DB70E816EC}"/>
            </c:ext>
          </c:extLst>
        </c:ser>
        <c:ser>
          <c:idx val="6"/>
          <c:order val="6"/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'Fitting Lines'!$G$26:$G$43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'Fitting Lines'!$R$26:$R$43</c:f>
              <c:numCache>
                <c:formatCode>0.000</c:formatCode>
                <c:ptCount val="18"/>
                <c:pt idx="0">
                  <c:v>7.2927392568915228E-2</c:v>
                </c:pt>
                <c:pt idx="1">
                  <c:v>0.19206070530414091</c:v>
                </c:pt>
                <c:pt idx="2">
                  <c:v>0.39733414550304919</c:v>
                </c:pt>
                <c:pt idx="3">
                  <c:v>0.60042895659072393</c:v>
                </c:pt>
                <c:pt idx="4">
                  <c:v>0.71728148177305595</c:v>
                </c:pt>
                <c:pt idx="5">
                  <c:v>0.76822128866117267</c:v>
                </c:pt>
                <c:pt idx="6">
                  <c:v>0.7987105247649775</c:v>
                </c:pt>
                <c:pt idx="7">
                  <c:v>0.84981847246217801</c:v>
                </c:pt>
                <c:pt idx="8">
                  <c:v>0.99553741490159009</c:v>
                </c:pt>
                <c:pt idx="9">
                  <c:v>1.4401461671229998</c:v>
                </c:pt>
                <c:pt idx="10">
                  <c:v>2.7389688744599257</c:v>
                </c:pt>
                <c:pt idx="11">
                  <c:v>6.0181972394151924</c:v>
                </c:pt>
                <c:pt idx="12">
                  <c:v>11.935561117186927</c:v>
                </c:pt>
                <c:pt idx="13">
                  <c:v>18.141789826564725</c:v>
                </c:pt>
                <c:pt idx="14">
                  <c:v>21.849251079288102</c:v>
                </c:pt>
                <c:pt idx="15">
                  <c:v>23.375151748574819</c:v>
                </c:pt>
                <c:pt idx="16">
                  <c:v>23.904770972630626</c:v>
                </c:pt>
                <c:pt idx="17">
                  <c:v>24.07745807672125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6-4FE9-9F42-B9DB70E816EC}"/>
            </c:ext>
          </c:extLst>
        </c:ser>
        <c:ser>
          <c:idx val="7"/>
          <c:order val="7"/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'Fitting Lines'!$V$26:$V$43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'Fitting Lines'!$AE$26:$AE$43</c:f>
              <c:numCache>
                <c:formatCode>0.000</c:formatCode>
                <c:ptCount val="18"/>
                <c:pt idx="0">
                  <c:v>0.12677586206591393</c:v>
                </c:pt>
                <c:pt idx="1">
                  <c:v>0.35320692924465003</c:v>
                </c:pt>
                <c:pt idx="2">
                  <c:v>0.81161123470234842</c:v>
                </c:pt>
                <c:pt idx="3">
                  <c:v>1.3765986620923993</c:v>
                </c:pt>
                <c:pt idx="4">
                  <c:v>1.765314743436543</c:v>
                </c:pt>
                <c:pt idx="5">
                  <c:v>1.9389268773661359</c:v>
                </c:pt>
                <c:pt idx="6">
                  <c:v>2.0029224613610568</c:v>
                </c:pt>
                <c:pt idx="7">
                  <c:v>2.0297057252514552</c:v>
                </c:pt>
                <c:pt idx="8">
                  <c:v>2.0561179063140052</c:v>
                </c:pt>
                <c:pt idx="9">
                  <c:v>2.1189254220645362</c:v>
                </c:pt>
                <c:pt idx="10">
                  <c:v>2.2929472998672407</c:v>
                </c:pt>
                <c:pt idx="11">
                  <c:v>2.7047198091168623</c:v>
                </c:pt>
                <c:pt idx="12">
                  <c:v>3.3646155109988864</c:v>
                </c:pt>
                <c:pt idx="13">
                  <c:v>3.9620337327005299</c:v>
                </c:pt>
                <c:pt idx="14">
                  <c:v>4.2806045548829452</c:v>
                </c:pt>
                <c:pt idx="15">
                  <c:v>4.4044110810967014</c:v>
                </c:pt>
                <c:pt idx="16">
                  <c:v>4.4464470037884487</c:v>
                </c:pt>
                <c:pt idx="17">
                  <c:v>4.4600514172435579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6-4FE9-9F42-B9DB70E8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82672"/>
        <c:axId val="809436288"/>
      </c:scatterChart>
      <c:valAx>
        <c:axId val="812182672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36288"/>
        <c:crosses val="autoZero"/>
        <c:crossBetween val="midCat"/>
      </c:valAx>
      <c:valAx>
        <c:axId val="809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40769903762033E-2"/>
          <c:y val="2.8070137066200058E-2"/>
          <c:w val="0.85849900275596025"/>
          <c:h val="0.84000810425012662"/>
        </c:manualLayout>
      </c:layout>
      <c:scatterChart>
        <c:scatterStyle val="lineMarker"/>
        <c:varyColors val="0"/>
        <c:ser>
          <c:idx val="0"/>
          <c:order val="0"/>
          <c:tx>
            <c:v>1L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'Volume Carboxyl Density'!$G$2:$G$7</c:f>
                <c:numCache>
                  <c:formatCode>General</c:formatCode>
                  <c:ptCount val="6"/>
                  <c:pt idx="0">
                    <c:v>1.3995307711725477E-3</c:v>
                  </c:pt>
                  <c:pt idx="1">
                    <c:v>3.6323974003395269E-4</c:v>
                  </c:pt>
                  <c:pt idx="2">
                    <c:v>5.3237625100422221E-3</c:v>
                  </c:pt>
                  <c:pt idx="3">
                    <c:v>1.6296095170444738E-2</c:v>
                  </c:pt>
                  <c:pt idx="4">
                    <c:v>8.2150967440000559E-3</c:v>
                  </c:pt>
                  <c:pt idx="5">
                    <c:v>3.0444495031265507E-3</c:v>
                  </c:pt>
                </c:numCache>
              </c:numRef>
            </c:plus>
            <c:minus>
              <c:numRef>
                <c:f>'Volume Carboxyl Density'!$G$2:$G$7</c:f>
                <c:numCache>
                  <c:formatCode>General</c:formatCode>
                  <c:ptCount val="6"/>
                  <c:pt idx="0">
                    <c:v>1.3995307711725477E-3</c:v>
                  </c:pt>
                  <c:pt idx="1">
                    <c:v>3.6323974003395269E-4</c:v>
                  </c:pt>
                  <c:pt idx="2">
                    <c:v>5.3237625100422221E-3</c:v>
                  </c:pt>
                  <c:pt idx="3">
                    <c:v>1.6296095170444738E-2</c:v>
                  </c:pt>
                  <c:pt idx="4">
                    <c:v>8.2150967440000559E-3</c:v>
                  </c:pt>
                  <c:pt idx="5">
                    <c:v>3.0444495031265507E-3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'Volume Carboxyl Density'!$B$2:$B$7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'Volume Carboxyl Density'!$F$2:$F$7</c:f>
              <c:numCache>
                <c:formatCode>0.000</c:formatCode>
                <c:ptCount val="6"/>
                <c:pt idx="0">
                  <c:v>8.9004088804873673E-3</c:v>
                </c:pt>
                <c:pt idx="1">
                  <c:v>6.7953329212019726E-3</c:v>
                </c:pt>
                <c:pt idx="2">
                  <c:v>3.6063274986705036E-2</c:v>
                </c:pt>
                <c:pt idx="3">
                  <c:v>0.10866993000346091</c:v>
                </c:pt>
                <c:pt idx="4">
                  <c:v>0.29570777554382721</c:v>
                </c:pt>
                <c:pt idx="5">
                  <c:v>0.27838706282619829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D-4876-BCFF-3D1091A798C7}"/>
            </c:ext>
          </c:extLst>
        </c:ser>
        <c:ser>
          <c:idx val="1"/>
          <c:order val="1"/>
          <c:tx>
            <c:v>2L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'Volume Carboxyl Density'!$G$9:$G$14</c:f>
                <c:numCache>
                  <c:formatCode>General</c:formatCode>
                  <c:ptCount val="6"/>
                  <c:pt idx="0">
                    <c:v>6.3383164286103248E-4</c:v>
                  </c:pt>
                  <c:pt idx="1">
                    <c:v>1.1450639369880201E-3</c:v>
                  </c:pt>
                  <c:pt idx="2">
                    <c:v>1.1978330771369853E-3</c:v>
                  </c:pt>
                  <c:pt idx="3">
                    <c:v>1.1853196641099899E-2</c:v>
                  </c:pt>
                  <c:pt idx="4">
                    <c:v>5.8371849777348623E-3</c:v>
                  </c:pt>
                  <c:pt idx="5">
                    <c:v>1.4203871660637541E-2</c:v>
                  </c:pt>
                </c:numCache>
              </c:numRef>
            </c:plus>
            <c:minus>
              <c:numRef>
                <c:f>'Volume Carboxyl Density'!$G$9:$G$14</c:f>
                <c:numCache>
                  <c:formatCode>General</c:formatCode>
                  <c:ptCount val="6"/>
                  <c:pt idx="0">
                    <c:v>6.3383164286103248E-4</c:v>
                  </c:pt>
                  <c:pt idx="1">
                    <c:v>1.1450639369880201E-3</c:v>
                  </c:pt>
                  <c:pt idx="2">
                    <c:v>1.1978330771369853E-3</c:v>
                  </c:pt>
                  <c:pt idx="3">
                    <c:v>1.1853196641099899E-2</c:v>
                  </c:pt>
                  <c:pt idx="4">
                    <c:v>5.8371849777348623E-3</c:v>
                  </c:pt>
                  <c:pt idx="5">
                    <c:v>1.4203871660637541E-2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'Volume Carboxyl Density'!$B$9:$B$14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'Volume Carboxyl Density'!$F$9:$F$14</c:f>
              <c:numCache>
                <c:formatCode>0.000</c:formatCode>
                <c:ptCount val="6"/>
                <c:pt idx="0">
                  <c:v>3.2079850252065634E-3</c:v>
                </c:pt>
                <c:pt idx="1">
                  <c:v>4.3411953198249859E-3</c:v>
                </c:pt>
                <c:pt idx="2">
                  <c:v>5.1994354694257011E-3</c:v>
                </c:pt>
                <c:pt idx="3">
                  <c:v>8.0116301343795077E-2</c:v>
                </c:pt>
                <c:pt idx="4">
                  <c:v>0.19917837413646147</c:v>
                </c:pt>
                <c:pt idx="5">
                  <c:v>0.25993844375673747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D-4876-BCFF-3D1091A798C7}"/>
            </c:ext>
          </c:extLst>
        </c:ser>
        <c:ser>
          <c:idx val="2"/>
          <c:order val="2"/>
          <c:tx>
            <c:v>5L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'Volume Carboxyl Density'!$G$16:$G$21</c:f>
                <c:numCache>
                  <c:formatCode>General</c:formatCode>
                  <c:ptCount val="6"/>
                  <c:pt idx="0">
                    <c:v>5.7727432917467972E-4</c:v>
                  </c:pt>
                  <c:pt idx="1">
                    <c:v>9.160863727425355E-4</c:v>
                  </c:pt>
                  <c:pt idx="2">
                    <c:v>2.1636308245870438E-3</c:v>
                  </c:pt>
                  <c:pt idx="3">
                    <c:v>8.3467862697019189E-3</c:v>
                  </c:pt>
                  <c:pt idx="4">
                    <c:v>9.3336412040020082E-3</c:v>
                  </c:pt>
                  <c:pt idx="5">
                    <c:v>1.7684570799168377E-2</c:v>
                  </c:pt>
                </c:numCache>
              </c:numRef>
            </c:plus>
            <c:minus>
              <c:numRef>
                <c:f>'Volume Carboxyl Density'!$G$16:$G$21</c:f>
                <c:numCache>
                  <c:formatCode>General</c:formatCode>
                  <c:ptCount val="6"/>
                  <c:pt idx="0">
                    <c:v>5.7727432917467972E-4</c:v>
                  </c:pt>
                  <c:pt idx="1">
                    <c:v>9.160863727425355E-4</c:v>
                  </c:pt>
                  <c:pt idx="2">
                    <c:v>2.1636308245870438E-3</c:v>
                  </c:pt>
                  <c:pt idx="3">
                    <c:v>8.3467862697019189E-3</c:v>
                  </c:pt>
                  <c:pt idx="4">
                    <c:v>9.3336412040020082E-3</c:v>
                  </c:pt>
                  <c:pt idx="5">
                    <c:v>1.7684570799168377E-2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'Volume Carboxyl Density'!$B$16:$B$21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'Volume Carboxyl Density'!$F$16:$F$21</c:f>
              <c:numCache>
                <c:formatCode>0.000</c:formatCode>
                <c:ptCount val="6"/>
                <c:pt idx="0">
                  <c:v>2.5625917208400972E-3</c:v>
                </c:pt>
                <c:pt idx="1">
                  <c:v>4.5013946675283292E-3</c:v>
                </c:pt>
                <c:pt idx="2">
                  <c:v>7.0386976542811883E-3</c:v>
                </c:pt>
                <c:pt idx="3">
                  <c:v>6.5350303670437038E-2</c:v>
                </c:pt>
                <c:pt idx="4">
                  <c:v>0.14272961518837018</c:v>
                </c:pt>
                <c:pt idx="5">
                  <c:v>0.24357130044843051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D-4876-BCFF-3D1091A798C7}"/>
            </c:ext>
          </c:extLst>
        </c:ser>
        <c:ser>
          <c:idx val="3"/>
          <c:order val="3"/>
          <c:tx>
            <c:v>NF270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'Volume Carboxyl Density'!$G$23:$G$28</c:f>
                <c:numCache>
                  <c:formatCode>General</c:formatCode>
                  <c:ptCount val="6"/>
                  <c:pt idx="0">
                    <c:v>3.1540370223413273E-3</c:v>
                  </c:pt>
                  <c:pt idx="1">
                    <c:v>3.1443007330651595E-4</c:v>
                  </c:pt>
                  <c:pt idx="2">
                    <c:v>9.4863650521625088E-3</c:v>
                  </c:pt>
                  <c:pt idx="3">
                    <c:v>7.2943676234394472E-3</c:v>
                  </c:pt>
                  <c:pt idx="4">
                    <c:v>3.2542548601150509E-2</c:v>
                  </c:pt>
                  <c:pt idx="5">
                    <c:v>7.250271428069382E-3</c:v>
                  </c:pt>
                </c:numCache>
              </c:numRef>
            </c:plus>
            <c:minus>
              <c:numRef>
                <c:f>'Volume Carboxyl Density'!$G$23:$G$28</c:f>
                <c:numCache>
                  <c:formatCode>General</c:formatCode>
                  <c:ptCount val="6"/>
                  <c:pt idx="0">
                    <c:v>3.1540370223413273E-3</c:v>
                  </c:pt>
                  <c:pt idx="1">
                    <c:v>3.1443007330651595E-4</c:v>
                  </c:pt>
                  <c:pt idx="2">
                    <c:v>9.4863650521625088E-3</c:v>
                  </c:pt>
                  <c:pt idx="3">
                    <c:v>7.2943676234394472E-3</c:v>
                  </c:pt>
                  <c:pt idx="4">
                    <c:v>3.2542548601150509E-2</c:v>
                  </c:pt>
                  <c:pt idx="5">
                    <c:v>7.250271428069382E-3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'Volume Carboxyl Density'!$B$23:$B$28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'Volume Carboxyl Density'!$F$23:$F$28</c:f>
              <c:numCache>
                <c:formatCode>0.000</c:formatCode>
                <c:ptCount val="6"/>
                <c:pt idx="0">
                  <c:v>3.3718838964943897E-2</c:v>
                </c:pt>
                <c:pt idx="1">
                  <c:v>9.7834832093407015E-2</c:v>
                </c:pt>
                <c:pt idx="2">
                  <c:v>0.15380148276692809</c:v>
                </c:pt>
                <c:pt idx="3">
                  <c:v>0.12161709841014498</c:v>
                </c:pt>
                <c:pt idx="4">
                  <c:v>0.39571839836907546</c:v>
                </c:pt>
                <c:pt idx="5">
                  <c:v>0.33836326208724188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D-4876-BCFF-3D1091A798C7}"/>
            </c:ext>
          </c:extLst>
        </c:ser>
        <c:ser>
          <c:idx val="4"/>
          <c:order val="4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'Volume Carboxyl Density'!$J$4:$J$21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'Volume Carboxyl Density'!$U$4:$U$21</c:f>
              <c:numCache>
                <c:formatCode>0.000</c:formatCode>
                <c:ptCount val="18"/>
                <c:pt idx="0">
                  <c:v>2.7986792980459405E-4</c:v>
                </c:pt>
                <c:pt idx="1">
                  <c:v>8.7045888884715328E-4</c:v>
                </c:pt>
                <c:pt idx="2">
                  <c:v>2.6165130837591576E-3</c:v>
                </c:pt>
                <c:pt idx="3">
                  <c:v>7.1555572046129636E-3</c:v>
                </c:pt>
                <c:pt idx="4">
                  <c:v>1.5856378179976198E-2</c:v>
                </c:pt>
                <c:pt idx="5">
                  <c:v>2.580495179387585E-2</c:v>
                </c:pt>
                <c:pt idx="6">
                  <c:v>3.2399739899223984E-2</c:v>
                </c:pt>
                <c:pt idx="7">
                  <c:v>3.6015448448407691E-2</c:v>
                </c:pt>
                <c:pt idx="8">
                  <c:v>3.9843153799250582E-2</c:v>
                </c:pt>
                <c:pt idx="9">
                  <c:v>4.8824174563253039E-2</c:v>
                </c:pt>
                <c:pt idx="10">
                  <c:v>7.2609705900405205E-2</c:v>
                </c:pt>
                <c:pt idx="11">
                  <c:v>0.12324703977071789</c:v>
                </c:pt>
                <c:pt idx="12">
                  <c:v>0.1910306862632398</c:v>
                </c:pt>
                <c:pt idx="13">
                  <c:v>0.24153599872234913</c:v>
                </c:pt>
                <c:pt idx="14">
                  <c:v>0.2651443131579812</c:v>
                </c:pt>
                <c:pt idx="15">
                  <c:v>0.27378141036039022</c:v>
                </c:pt>
                <c:pt idx="16">
                  <c:v>0.2766498686326529</c:v>
                </c:pt>
                <c:pt idx="17">
                  <c:v>0.2775714156931971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9D-4876-BCFF-3D1091A798C7}"/>
            </c:ext>
          </c:extLst>
        </c:ser>
        <c:ser>
          <c:idx val="5"/>
          <c:order val="5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'Volume Carboxyl Density'!$J$26:$J$43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'Volume Carboxyl Density'!$U$26:$U$43</c:f>
              <c:numCache>
                <c:formatCode>0.000</c:formatCode>
                <c:ptCount val="18"/>
                <c:pt idx="0">
                  <c:v>6.564507401822029E-4</c:v>
                </c:pt>
                <c:pt idx="1">
                  <c:v>1.7277186417919699E-3</c:v>
                </c:pt>
                <c:pt idx="2">
                  <c:v>3.5704131571286549E-3</c:v>
                </c:pt>
                <c:pt idx="3">
                  <c:v>5.3899046473110746E-3</c:v>
                </c:pt>
                <c:pt idx="4">
                  <c:v>6.4363791816173877E-3</c:v>
                </c:pt>
                <c:pt idx="5">
                  <c:v>6.8968958846926283E-3</c:v>
                </c:pt>
                <c:pt idx="6">
                  <c:v>7.1864973032310046E-3</c:v>
                </c:pt>
                <c:pt idx="7">
                  <c:v>7.6975548328872285E-3</c:v>
                </c:pt>
                <c:pt idx="8">
                  <c:v>9.1702937907463238E-3</c:v>
                </c:pt>
                <c:pt idx="9">
                  <c:v>1.3669199176253252E-2</c:v>
                </c:pt>
                <c:pt idx="10">
                  <c:v>2.6813303253980986E-2</c:v>
                </c:pt>
                <c:pt idx="11">
                  <c:v>5.9999287859717053E-2</c:v>
                </c:pt>
                <c:pt idx="12">
                  <c:v>0.11988240585187417</c:v>
                </c:pt>
                <c:pt idx="13">
                  <c:v>0.18268737377451219</c:v>
                </c:pt>
                <c:pt idx="14">
                  <c:v>0.22020494197520402</c:v>
                </c:pt>
                <c:pt idx="15">
                  <c:v>0.23564610503349276</c:v>
                </c:pt>
                <c:pt idx="16">
                  <c:v>0.241005500336369</c:v>
                </c:pt>
                <c:pt idx="17">
                  <c:v>0.24275297697284526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9D-4876-BCFF-3D1091A798C7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'Volume Carboxyl Density'!$Y$4:$Y$21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'Volume Carboxyl Density'!$AH$4:$AH$21</c:f>
              <c:numCache>
                <c:formatCode>0.000</c:formatCode>
                <c:ptCount val="18"/>
                <c:pt idx="0">
                  <c:v>9.8946585855174578E-5</c:v>
                </c:pt>
                <c:pt idx="1">
                  <c:v>2.9983735953472877E-4</c:v>
                </c:pt>
                <c:pt idx="2">
                  <c:v>8.376763686518858E-4</c:v>
                </c:pt>
                <c:pt idx="3">
                  <c:v>1.9366418149021512E-3</c:v>
                </c:pt>
                <c:pt idx="4">
                  <c:v>3.3187914105966393E-3</c:v>
                </c:pt>
                <c:pt idx="5">
                  <c:v>4.333525240214158E-3</c:v>
                </c:pt>
                <c:pt idx="6">
                  <c:v>4.9783436205931633E-3</c:v>
                </c:pt>
                <c:pt idx="7">
                  <c:v>5.8293239824159342E-3</c:v>
                </c:pt>
                <c:pt idx="8">
                  <c:v>8.0650339506928449E-3</c:v>
                </c:pt>
                <c:pt idx="9">
                  <c:v>1.4751633918409278E-2</c:v>
                </c:pt>
                <c:pt idx="10">
                  <c:v>3.3705542778533826E-2</c:v>
                </c:pt>
                <c:pt idx="11">
                  <c:v>7.8141664418517234E-2</c:v>
                </c:pt>
                <c:pt idx="12">
                  <c:v>0.14780722466846591</c:v>
                </c:pt>
                <c:pt idx="13">
                  <c:v>0.20926595043534535</c:v>
                </c:pt>
                <c:pt idx="14">
                  <c:v>0.24143161971773613</c:v>
                </c:pt>
                <c:pt idx="15">
                  <c:v>0.25382063608723471</c:v>
                </c:pt>
                <c:pt idx="16">
                  <c:v>0.25801300526777432</c:v>
                </c:pt>
                <c:pt idx="17">
                  <c:v>0.25936829293004676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F-4518-9780-50E61D14B264}"/>
            </c:ext>
          </c:extLst>
        </c:ser>
        <c:ser>
          <c:idx val="7"/>
          <c:order val="7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'Volume Carboxyl Density'!$Y$26:$Y$43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'Volume Carboxyl Density'!$AH$26:$AH$43</c:f>
              <c:numCache>
                <c:formatCode>0.000</c:formatCode>
                <c:ptCount val="18"/>
                <c:pt idx="0">
                  <c:v>8.7095121508406134E-3</c:v>
                </c:pt>
                <c:pt idx="1">
                  <c:v>2.426537250565395E-2</c:v>
                </c:pt>
                <c:pt idx="2">
                  <c:v>5.5758020788374954E-2</c:v>
                </c:pt>
                <c:pt idx="3">
                  <c:v>9.4573954479952996E-2</c:v>
                </c:pt>
                <c:pt idx="4">
                  <c:v>0.12128354019460462</c:v>
                </c:pt>
                <c:pt idx="5">
                  <c:v>0.13322635861271823</c:v>
                </c:pt>
                <c:pt idx="6">
                  <c:v>0.13767257642143982</c:v>
                </c:pt>
                <c:pt idx="7">
                  <c:v>0.1396693649916986</c:v>
                </c:pt>
                <c:pt idx="8">
                  <c:v>0.14197434622971011</c:v>
                </c:pt>
                <c:pt idx="9">
                  <c:v>0.14778871599026452</c:v>
                </c:pt>
                <c:pt idx="10">
                  <c:v>0.16402471923236692</c:v>
                </c:pt>
                <c:pt idx="11">
                  <c:v>0.2024758653605955</c:v>
                </c:pt>
                <c:pt idx="12">
                  <c:v>0.26410326982865823</c:v>
                </c:pt>
                <c:pt idx="13">
                  <c:v>0.31989688506391356</c:v>
                </c:pt>
                <c:pt idx="14">
                  <c:v>0.34964871375449846</c:v>
                </c:pt>
                <c:pt idx="15">
                  <c:v>0.36121121118149779</c:v>
                </c:pt>
                <c:pt idx="16">
                  <c:v>0.36513701712460928</c:v>
                </c:pt>
                <c:pt idx="17">
                  <c:v>0.36640755643582312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F-4518-9780-50E61D14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66096"/>
        <c:axId val="919163472"/>
      </c:scatterChart>
      <c:valAx>
        <c:axId val="919166096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63472"/>
        <c:crosses val="autoZero"/>
        <c:crossBetween val="midCat"/>
      </c:valAx>
      <c:valAx>
        <c:axId val="919163472"/>
        <c:scaling>
          <c:orientation val="minMax"/>
          <c:max val="0.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483870</xdr:colOff>
      <xdr:row>2</xdr:row>
      <xdr:rowOff>55245</xdr:rowOff>
    </xdr:from>
    <xdr:to>
      <xdr:col>19</xdr:col>
      <xdr:colOff>74295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5084D-2A7B-4D14-9E5D-1B02CFF2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20955</xdr:rowOff>
    </xdr:from>
    <xdr:to>
      <xdr:col>8</xdr:col>
      <xdr:colOff>466725</xdr:colOff>
      <xdr:row>29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0969F-7666-4AC2-BE55-872BEFB6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283845</xdr:colOff>
      <xdr:row>9</xdr:row>
      <xdr:rowOff>133350</xdr:rowOff>
    </xdr:from>
    <xdr:to>
      <xdr:col>17</xdr:col>
      <xdr:colOff>643890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DF569-24B1-44EB-9823-136EC7028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0116cr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19" workbookViewId="0">
      <selection activeCell="F30" sqref="F30"/>
    </sheetView>
  </sheetViews>
  <sheetFormatPr defaultRowHeight="14.4" x14ac:dyDescent="0.3"/>
  <cols>
    <col min="1" max="1" width="19.109375" bestFit="1" customWidth="1"/>
    <col min="2" max="2" width="10" bestFit="1" customWidth="1"/>
    <col min="3" max="3" width="10" customWidth="1"/>
    <col min="4" max="4" width="5.6640625" customWidth="1"/>
    <col min="7" max="7" width="16.44140625" customWidth="1"/>
    <col min="8" max="10" width="14.109375" customWidth="1"/>
    <col min="11" max="11" width="17.21875" customWidth="1"/>
    <col min="12" max="12" width="15.6640625" customWidth="1"/>
  </cols>
  <sheetData>
    <row r="1" spans="1:18" x14ac:dyDescent="0.3">
      <c r="A1" t="s">
        <v>0</v>
      </c>
    </row>
    <row r="2" spans="1:18" x14ac:dyDescent="0.3">
      <c r="B2" t="s">
        <v>1</v>
      </c>
    </row>
    <row r="3" spans="1:18" x14ac:dyDescent="0.3">
      <c r="A3" t="s">
        <v>2</v>
      </c>
    </row>
    <row r="4" spans="1:18" x14ac:dyDescent="0.3">
      <c r="A4" t="s">
        <v>3</v>
      </c>
      <c r="B4">
        <v>10.1</v>
      </c>
    </row>
    <row r="5" spans="1:18" x14ac:dyDescent="0.3">
      <c r="A5" t="s">
        <v>4</v>
      </c>
      <c r="B5">
        <v>50</v>
      </c>
    </row>
    <row r="6" spans="1:18" x14ac:dyDescent="0.3">
      <c r="A6" t="s">
        <v>5</v>
      </c>
      <c r="B6">
        <v>101</v>
      </c>
      <c r="L6" s="14" t="s">
        <v>75</v>
      </c>
      <c r="M6" s="14"/>
      <c r="N6" s="14"/>
      <c r="O6" s="14"/>
      <c r="P6" s="14"/>
      <c r="Q6" s="14"/>
      <c r="R6" s="14"/>
    </row>
    <row r="7" spans="1:18" ht="28.8" x14ac:dyDescent="0.3">
      <c r="A7" t="s">
        <v>6</v>
      </c>
      <c r="B7">
        <v>200</v>
      </c>
      <c r="D7" t="s">
        <v>65</v>
      </c>
      <c r="E7" t="s">
        <v>66</v>
      </c>
      <c r="G7" s="2" t="s">
        <v>67</v>
      </c>
      <c r="H7" s="2" t="s">
        <v>70</v>
      </c>
      <c r="I7" t="s">
        <v>69</v>
      </c>
      <c r="L7" t="s">
        <v>65</v>
      </c>
      <c r="M7" t="s">
        <v>74</v>
      </c>
      <c r="N7" t="s">
        <v>71</v>
      </c>
      <c r="O7" t="s">
        <v>67</v>
      </c>
      <c r="P7" t="s">
        <v>68</v>
      </c>
      <c r="Q7" t="s">
        <v>69</v>
      </c>
      <c r="R7" t="s">
        <v>71</v>
      </c>
    </row>
    <row r="8" spans="1:18" x14ac:dyDescent="0.3">
      <c r="A8" t="s">
        <v>88</v>
      </c>
      <c r="B8">
        <v>0.72</v>
      </c>
      <c r="D8">
        <v>3.5</v>
      </c>
      <c r="E8" s="3">
        <f>AVERAGE(B8:B10)</f>
        <v>0.78666666666666663</v>
      </c>
      <c r="F8" s="3">
        <f>_xlfn.STDEV.P(B8:B10)</f>
        <v>0.19362047641943492</v>
      </c>
      <c r="G8">
        <v>27905468025949.953</v>
      </c>
      <c r="H8">
        <v>197932609022465</v>
      </c>
      <c r="I8">
        <f>E8*G8/H8</f>
        <v>0.11090795812859593</v>
      </c>
      <c r="J8">
        <f>F8*G8/H8</f>
        <v>2.7297523336735786E-2</v>
      </c>
      <c r="L8">
        <v>3.5</v>
      </c>
      <c r="M8">
        <v>3.157</v>
      </c>
      <c r="N8">
        <v>0.29530361024244539</v>
      </c>
      <c r="O8">
        <v>27905468025949.953</v>
      </c>
      <c r="P8">
        <v>197932609022465</v>
      </c>
      <c r="Q8">
        <v>0.4450886743372594</v>
      </c>
      <c r="R8">
        <v>4.1633288694905519E-2</v>
      </c>
    </row>
    <row r="9" spans="1:18" x14ac:dyDescent="0.3">
      <c r="A9" t="s">
        <v>89</v>
      </c>
      <c r="B9">
        <v>1.05</v>
      </c>
      <c r="E9" s="3"/>
      <c r="F9" s="3"/>
      <c r="L9">
        <v>5</v>
      </c>
      <c r="M9">
        <v>6.8699999999999992</v>
      </c>
      <c r="N9">
        <v>2.9439202887759416E-2</v>
      </c>
      <c r="O9">
        <v>27905468025949.953</v>
      </c>
      <c r="P9">
        <v>197932609022465</v>
      </c>
      <c r="Q9">
        <v>1.2914197836329726</v>
      </c>
      <c r="R9">
        <v>4.1504769676460104E-3</v>
      </c>
    </row>
    <row r="10" spans="1:18" x14ac:dyDescent="0.3">
      <c r="A10" t="s">
        <v>90</v>
      </c>
      <c r="B10">
        <v>0.59</v>
      </c>
      <c r="E10" s="3"/>
      <c r="F10" s="3"/>
      <c r="L10">
        <v>7</v>
      </c>
      <c r="M10">
        <v>10.8</v>
      </c>
      <c r="N10">
        <v>0.88818166309976543</v>
      </c>
      <c r="O10">
        <v>27905468025949.953</v>
      </c>
      <c r="P10">
        <v>197932609022465</v>
      </c>
      <c r="Q10">
        <v>2.0301795725234508</v>
      </c>
      <c r="R10">
        <v>0.1252200186885451</v>
      </c>
    </row>
    <row r="11" spans="1:18" x14ac:dyDescent="0.3">
      <c r="A11" t="s">
        <v>91</v>
      </c>
      <c r="B11">
        <v>1.1599999999999999</v>
      </c>
      <c r="D11">
        <v>5</v>
      </c>
      <c r="E11" s="3">
        <f>AVERAGE(B11:B13)</f>
        <v>1.5066666666666666</v>
      </c>
      <c r="F11" s="3">
        <f>_xlfn.STDEV.P(B11:B13)</f>
        <v>0.26398653164297892</v>
      </c>
      <c r="G11">
        <v>27905468025949.953</v>
      </c>
      <c r="H11">
        <v>197932609022465</v>
      </c>
      <c r="I11">
        <f>E11*G11/H11</f>
        <v>0.21241693675476844</v>
      </c>
      <c r="J11">
        <f>F11*G11/H11</f>
        <v>3.721805999742301E-2</v>
      </c>
      <c r="L11">
        <v>9</v>
      </c>
      <c r="M11">
        <v>8.5399999999999991</v>
      </c>
      <c r="N11">
        <v>0.68295111261511532</v>
      </c>
      <c r="O11">
        <v>27905468025949.953</v>
      </c>
      <c r="P11">
        <v>197932609022465</v>
      </c>
      <c r="Q11">
        <v>1.6053456990139137</v>
      </c>
      <c r="R11">
        <v>9.6285652629400698E-2</v>
      </c>
    </row>
    <row r="12" spans="1:18" x14ac:dyDescent="0.3">
      <c r="A12" t="s">
        <v>92</v>
      </c>
      <c r="B12">
        <v>1.8</v>
      </c>
      <c r="E12" s="3"/>
      <c r="F12" s="3"/>
      <c r="L12">
        <v>10</v>
      </c>
      <c r="M12">
        <v>37.049999999999997</v>
      </c>
      <c r="N12">
        <v>3.0468672435798716</v>
      </c>
      <c r="O12">
        <v>27905468025949.953</v>
      </c>
      <c r="P12">
        <v>197932609022465</v>
      </c>
      <c r="Q12">
        <v>5.2234828584717956</v>
      </c>
      <c r="R12">
        <v>0.42956164153518672</v>
      </c>
    </row>
    <row r="13" spans="1:18" x14ac:dyDescent="0.3">
      <c r="A13" t="s">
        <v>93</v>
      </c>
      <c r="B13">
        <v>1.56</v>
      </c>
      <c r="E13" s="3"/>
      <c r="F13" s="3"/>
      <c r="L13">
        <v>10.5</v>
      </c>
      <c r="M13">
        <v>31.68</v>
      </c>
      <c r="N13">
        <v>0.67882250993908533</v>
      </c>
      <c r="O13">
        <v>27905468025949.953</v>
      </c>
      <c r="P13">
        <v>197932609022465</v>
      </c>
      <c r="Q13">
        <v>4.4663950595515924</v>
      </c>
      <c r="R13">
        <v>9.5703582850515834E-2</v>
      </c>
    </row>
    <row r="14" spans="1:18" x14ac:dyDescent="0.3">
      <c r="A14" t="s">
        <v>94</v>
      </c>
      <c r="B14">
        <v>2.44</v>
      </c>
      <c r="D14">
        <v>7</v>
      </c>
      <c r="E14" s="3">
        <f>AVERAGE(B14:B16)</f>
        <v>3.06</v>
      </c>
      <c r="F14" s="3">
        <f>_xlfn.STDEV.P(B14:B16)</f>
        <v>0.4411349000022578</v>
      </c>
      <c r="G14">
        <v>27905468025949.953</v>
      </c>
      <c r="H14">
        <v>197932609022465</v>
      </c>
      <c r="I14">
        <f>E14*G14/H14</f>
        <v>0.43141315916123329</v>
      </c>
      <c r="J14">
        <f>F14*G14/H14</f>
        <v>6.2193268243872148E-2</v>
      </c>
    </row>
    <row r="15" spans="1:18" x14ac:dyDescent="0.3">
      <c r="A15" t="s">
        <v>95</v>
      </c>
      <c r="B15">
        <v>3.31</v>
      </c>
      <c r="E15" s="3"/>
      <c r="F15" s="3"/>
    </row>
    <row r="16" spans="1:18" x14ac:dyDescent="0.3">
      <c r="A16" t="s">
        <v>96</v>
      </c>
      <c r="B16">
        <v>3.43</v>
      </c>
      <c r="E16" s="3"/>
      <c r="F16" s="3"/>
    </row>
    <row r="17" spans="1:14" x14ac:dyDescent="0.3">
      <c r="A17" t="s">
        <v>97</v>
      </c>
      <c r="B17">
        <v>2.85</v>
      </c>
      <c r="D17">
        <v>9</v>
      </c>
      <c r="E17" s="3">
        <f>AVERAGE(B17:B19)</f>
        <v>3.0166666666666671</v>
      </c>
      <c r="F17" s="3">
        <f>_xlfn.STDEV.P(B17:B19)</f>
        <v>0.42491829279939874</v>
      </c>
      <c r="G17">
        <v>27905468025949.953</v>
      </c>
      <c r="H17">
        <v>197932609022465</v>
      </c>
      <c r="I17">
        <f>E17*G17/H17</f>
        <v>0.42530382248465814</v>
      </c>
      <c r="J17">
        <f>F17*G17/H17</f>
        <v>5.9906974863394295E-2</v>
      </c>
    </row>
    <row r="18" spans="1:14" x14ac:dyDescent="0.3">
      <c r="A18" t="s">
        <v>98</v>
      </c>
      <c r="B18">
        <v>3.6</v>
      </c>
      <c r="E18" s="3"/>
      <c r="F18" s="3"/>
    </row>
    <row r="19" spans="1:14" x14ac:dyDescent="0.3">
      <c r="A19" t="s">
        <v>99</v>
      </c>
      <c r="B19">
        <v>2.6</v>
      </c>
      <c r="E19" s="3"/>
      <c r="F19" s="3"/>
    </row>
    <row r="20" spans="1:14" x14ac:dyDescent="0.3">
      <c r="A20" t="s">
        <v>100</v>
      </c>
      <c r="B20">
        <v>3.43</v>
      </c>
      <c r="D20">
        <v>10</v>
      </c>
      <c r="E20" s="3">
        <f>AVERAGE(B20:B22)</f>
        <v>4.7866666666666662</v>
      </c>
      <c r="F20" s="3">
        <f>_xlfn.STDEV.P(B20:B22)</f>
        <v>0.99754142214190289</v>
      </c>
      <c r="G20">
        <v>27905468025949.953</v>
      </c>
      <c r="H20">
        <v>197932609022465</v>
      </c>
      <c r="I20">
        <f>E20*G20/H20</f>
        <v>0.67484672827399883</v>
      </c>
      <c r="J20">
        <f>F20*G20/H20</f>
        <v>0.14063807069295026</v>
      </c>
    </row>
    <row r="21" spans="1:14" x14ac:dyDescent="0.3">
      <c r="A21" t="s">
        <v>101</v>
      </c>
      <c r="B21">
        <v>5.13</v>
      </c>
      <c r="E21" s="3"/>
      <c r="F21" s="3"/>
    </row>
    <row r="22" spans="1:14" x14ac:dyDescent="0.3">
      <c r="A22" t="s">
        <v>102</v>
      </c>
      <c r="B22">
        <v>5.8</v>
      </c>
      <c r="E22" s="3"/>
      <c r="F22" s="3"/>
    </row>
    <row r="23" spans="1:14" x14ac:dyDescent="0.3">
      <c r="A23" t="s">
        <v>103</v>
      </c>
      <c r="B23">
        <v>3.97</v>
      </c>
      <c r="D23">
        <v>10.5</v>
      </c>
      <c r="E23" s="3">
        <f>AVERAGE(B23:B25)</f>
        <v>4.9799999999999995</v>
      </c>
      <c r="F23" s="3">
        <f>_xlfn.STDEV.P(B23:B25)</f>
        <v>0.71428285713714113</v>
      </c>
      <c r="G23">
        <v>27905468025949.953</v>
      </c>
      <c r="H23">
        <v>197932609022465</v>
      </c>
      <c r="I23">
        <f>E23*G23/H23</f>
        <v>0.70210376883102665</v>
      </c>
      <c r="J23">
        <f>F23*G23/H23</f>
        <v>0.100702948997466</v>
      </c>
    </row>
    <row r="24" spans="1:14" x14ac:dyDescent="0.3">
      <c r="A24" t="s">
        <v>104</v>
      </c>
      <c r="B24">
        <v>5.47</v>
      </c>
    </row>
    <row r="25" spans="1:14" x14ac:dyDescent="0.3">
      <c r="A25" t="s">
        <v>105</v>
      </c>
      <c r="B25">
        <v>5.5</v>
      </c>
    </row>
    <row r="26" spans="1:14" ht="28.8" x14ac:dyDescent="0.3">
      <c r="A26" t="s">
        <v>7</v>
      </c>
      <c r="B26">
        <v>10.1</v>
      </c>
      <c r="F26" t="s">
        <v>112</v>
      </c>
      <c r="G26" t="s">
        <v>72</v>
      </c>
      <c r="H26" t="s">
        <v>71</v>
      </c>
      <c r="I26" t="s">
        <v>113</v>
      </c>
      <c r="J26" t="s">
        <v>73</v>
      </c>
      <c r="K26" s="2" t="s">
        <v>67</v>
      </c>
      <c r="L26" s="2" t="s">
        <v>70</v>
      </c>
      <c r="M26" t="s">
        <v>69</v>
      </c>
    </row>
    <row r="27" spans="1:14" x14ac:dyDescent="0.3">
      <c r="A27" t="s">
        <v>8</v>
      </c>
      <c r="B27">
        <v>1.94</v>
      </c>
      <c r="D27">
        <v>3.5</v>
      </c>
      <c r="E27" s="4">
        <f>AVERAGE(B27:B29)</f>
        <v>2.3933333333333331</v>
      </c>
      <c r="F27" s="3">
        <v>0.78666666666666663</v>
      </c>
      <c r="G27" s="5">
        <f>E27-F27</f>
        <v>1.6066666666666665</v>
      </c>
      <c r="H27" s="4">
        <f>_xlfn.STDEV.P(B27:B29)</f>
        <v>0.32148958856478616</v>
      </c>
      <c r="I27" s="3">
        <v>0.57412735714493013</v>
      </c>
      <c r="J27" s="5">
        <f>ABS(H27-I27)</f>
        <v>0.25263776858014397</v>
      </c>
      <c r="K27">
        <v>27905468025949.953</v>
      </c>
      <c r="L27">
        <v>197932609022465</v>
      </c>
      <c r="M27">
        <f>G27*K27/L27</f>
        <v>0.2265154060084035</v>
      </c>
      <c r="N27">
        <f>J27*K27/L27</f>
        <v>3.5618058126341334E-2</v>
      </c>
    </row>
    <row r="28" spans="1:14" x14ac:dyDescent="0.3">
      <c r="A28" t="s">
        <v>9</v>
      </c>
      <c r="B28">
        <v>2.65</v>
      </c>
      <c r="E28" s="4"/>
      <c r="F28" s="3"/>
      <c r="G28" s="5"/>
      <c r="H28" s="4"/>
      <c r="I28" s="3"/>
      <c r="J28" s="5"/>
    </row>
    <row r="29" spans="1:14" x14ac:dyDescent="0.3">
      <c r="A29" t="s">
        <v>10</v>
      </c>
      <c r="B29">
        <v>2.59</v>
      </c>
      <c r="E29" s="4"/>
      <c r="F29" s="3"/>
      <c r="G29" s="5"/>
      <c r="H29" s="4"/>
      <c r="I29" s="3"/>
      <c r="J29" s="5"/>
    </row>
    <row r="30" spans="1:14" x14ac:dyDescent="0.3">
      <c r="A30" t="s">
        <v>11</v>
      </c>
      <c r="B30">
        <v>1.71</v>
      </c>
      <c r="D30">
        <v>5</v>
      </c>
      <c r="E30" s="4">
        <f>AVERAGE(B30:B32)</f>
        <v>2.7333333333333329</v>
      </c>
      <c r="F30" s="3">
        <v>1.5066666666666666</v>
      </c>
      <c r="G30" s="5">
        <f>E30-F30</f>
        <v>1.2266666666666663</v>
      </c>
      <c r="H30" s="4">
        <f>_xlfn.STDEV.P(B30:B32)</f>
        <v>0.73076824111493965</v>
      </c>
      <c r="I30" s="3">
        <v>0.79633884468582417</v>
      </c>
      <c r="J30" s="5">
        <f>ABS(H30-I30)</f>
        <v>6.5570603570884511E-2</v>
      </c>
      <c r="K30">
        <v>27905468025949.953</v>
      </c>
      <c r="L30">
        <v>197932609022465</v>
      </c>
      <c r="M30">
        <f>G30*K30/L30</f>
        <v>0.17294122284459021</v>
      </c>
      <c r="N30">
        <f>J30*K30/L30</f>
        <v>9.2444513838640958E-3</v>
      </c>
    </row>
    <row r="31" spans="1:14" x14ac:dyDescent="0.3">
      <c r="A31" t="s">
        <v>12</v>
      </c>
      <c r="B31">
        <v>3.12</v>
      </c>
      <c r="E31" s="4"/>
      <c r="F31" s="3"/>
      <c r="G31" s="5"/>
      <c r="H31" s="4"/>
      <c r="I31" s="3"/>
      <c r="J31" s="5"/>
    </row>
    <row r="32" spans="1:14" x14ac:dyDescent="0.3">
      <c r="A32" t="s">
        <v>13</v>
      </c>
      <c r="B32">
        <v>3.37</v>
      </c>
      <c r="E32" s="4"/>
      <c r="F32" s="3"/>
      <c r="G32" s="5"/>
      <c r="H32" s="4"/>
      <c r="I32" s="3"/>
      <c r="J32" s="5"/>
    </row>
    <row r="33" spans="1:14" x14ac:dyDescent="0.3">
      <c r="A33" t="s">
        <v>14</v>
      </c>
      <c r="B33">
        <v>9.99</v>
      </c>
      <c r="D33">
        <v>7</v>
      </c>
      <c r="E33" s="4">
        <f>AVERAGE(B33:B35)</f>
        <v>9.5699999999999985</v>
      </c>
      <c r="F33" s="3">
        <v>3.06</v>
      </c>
      <c r="G33" s="5">
        <f>E33-F33</f>
        <v>6.509999999999998</v>
      </c>
      <c r="H33" s="4">
        <f>_xlfn.STDEV.P(B33:B35)</f>
        <v>0.36986484017813864</v>
      </c>
      <c r="I33" s="3">
        <v>1.3308894269121954</v>
      </c>
      <c r="J33" s="5">
        <f>ABS(H33-I33)</f>
        <v>0.96102458673405677</v>
      </c>
      <c r="K33">
        <v>27905468025949.953</v>
      </c>
      <c r="L33">
        <v>197932609022465</v>
      </c>
      <c r="M33">
        <f>G33*K33/L33</f>
        <v>0.91781034841164311</v>
      </c>
      <c r="N33">
        <f>J33*K33/L33</f>
        <v>0.13548975588057455</v>
      </c>
    </row>
    <row r="34" spans="1:14" x14ac:dyDescent="0.3">
      <c r="A34" t="s">
        <v>15</v>
      </c>
      <c r="B34">
        <v>9.629999999999999</v>
      </c>
      <c r="E34" s="4"/>
      <c r="F34" s="3"/>
      <c r="G34" s="5"/>
      <c r="H34" s="4"/>
      <c r="I34" s="3"/>
      <c r="J34" s="5"/>
    </row>
    <row r="35" spans="1:14" x14ac:dyDescent="0.3">
      <c r="A35" t="s">
        <v>16</v>
      </c>
      <c r="B35">
        <v>9.09</v>
      </c>
      <c r="E35" s="4"/>
      <c r="F35" s="3"/>
      <c r="G35" s="5"/>
      <c r="H35" s="4"/>
      <c r="I35" s="3"/>
      <c r="J35" s="5"/>
    </row>
    <row r="36" spans="1:14" x14ac:dyDescent="0.3">
      <c r="A36" t="s">
        <v>17</v>
      </c>
      <c r="B36">
        <v>18.2</v>
      </c>
      <c r="D36">
        <v>9</v>
      </c>
      <c r="E36" s="4">
        <f>AVERAGE(B36:B38)</f>
        <v>22.633333333333329</v>
      </c>
      <c r="F36" s="3">
        <v>3.0166666666666671</v>
      </c>
      <c r="G36" s="5">
        <f>E36-F36</f>
        <v>19.616666666666664</v>
      </c>
      <c r="H36" s="4">
        <f>_xlfn.STDEV.P(B36:B38)</f>
        <v>4.2145251478929611</v>
      </c>
      <c r="I36" s="3">
        <v>1.2728183950063996</v>
      </c>
      <c r="J36" s="5">
        <f>ABS(H36-I36)</f>
        <v>2.9417067528865615</v>
      </c>
      <c r="K36">
        <v>27905468025949.953</v>
      </c>
      <c r="L36">
        <v>197932609022465</v>
      </c>
      <c r="M36">
        <f>G36*K36/L36</f>
        <v>2.76564971858808</v>
      </c>
      <c r="N36">
        <f>J36*K36/L36</f>
        <v>0.41473562208781861</v>
      </c>
    </row>
    <row r="37" spans="1:14" x14ac:dyDescent="0.3">
      <c r="A37" t="s">
        <v>18</v>
      </c>
      <c r="B37">
        <v>21.4</v>
      </c>
      <c r="E37" s="4"/>
      <c r="F37" s="3"/>
      <c r="G37" s="5"/>
      <c r="H37" s="4"/>
      <c r="I37" s="3"/>
      <c r="J37" s="5"/>
    </row>
    <row r="38" spans="1:14" x14ac:dyDescent="0.3">
      <c r="A38" t="s">
        <v>19</v>
      </c>
      <c r="B38">
        <v>28.3</v>
      </c>
      <c r="E38" s="4"/>
      <c r="F38" s="3"/>
      <c r="G38" s="5"/>
      <c r="H38" s="4"/>
      <c r="I38" s="3"/>
      <c r="J38" s="5"/>
    </row>
    <row r="39" spans="1:14" x14ac:dyDescent="0.3">
      <c r="A39" t="s">
        <v>20</v>
      </c>
      <c r="B39">
        <v>57.7</v>
      </c>
      <c r="D39">
        <v>10</v>
      </c>
      <c r="E39" s="4">
        <f>AVERAGE(B39:B41)</f>
        <v>58.166666666666664</v>
      </c>
      <c r="F39" s="3">
        <v>4.7866666666666662</v>
      </c>
      <c r="G39" s="5">
        <f>E39-F39</f>
        <v>53.379999999999995</v>
      </c>
      <c r="H39" s="4">
        <f>_xlfn.STDEV.P(B39:B41)</f>
        <v>1.5062831370260008</v>
      </c>
      <c r="I39" s="3">
        <v>2.9892399628593784</v>
      </c>
      <c r="J39" s="5">
        <f>ABS(H39-I39)</f>
        <v>1.4829568258333776</v>
      </c>
      <c r="K39">
        <v>27905468025949.953</v>
      </c>
      <c r="L39">
        <v>197932609022465</v>
      </c>
      <c r="M39">
        <f>G39*K39/L39</f>
        <v>7.5257628875904024</v>
      </c>
      <c r="N39">
        <f>J39*K39/L39</f>
        <v>0.2090742121348014</v>
      </c>
    </row>
    <row r="40" spans="1:14" x14ac:dyDescent="0.3">
      <c r="A40" t="s">
        <v>21</v>
      </c>
      <c r="B40">
        <v>60.2</v>
      </c>
      <c r="E40" s="4"/>
      <c r="F40" s="3"/>
      <c r="G40" s="5"/>
      <c r="H40" s="4"/>
      <c r="I40" s="3"/>
      <c r="J40" s="5"/>
    </row>
    <row r="41" spans="1:14" x14ac:dyDescent="0.3">
      <c r="A41" t="s">
        <v>22</v>
      </c>
      <c r="B41">
        <v>56.6</v>
      </c>
      <c r="E41" s="4"/>
      <c r="F41" s="3"/>
      <c r="G41" s="5"/>
      <c r="H41" s="4"/>
      <c r="I41" s="3"/>
      <c r="J41" s="5"/>
    </row>
    <row r="42" spans="1:14" x14ac:dyDescent="0.3">
      <c r="A42" t="s">
        <v>23</v>
      </c>
      <c r="B42">
        <v>58.5</v>
      </c>
      <c r="D42">
        <v>10.5</v>
      </c>
      <c r="E42" s="4">
        <f>AVERAGE(B42:B44)</f>
        <v>55.233333333333327</v>
      </c>
      <c r="F42" s="3">
        <v>4.9799999999999995</v>
      </c>
      <c r="G42" s="5">
        <f>E42-F42</f>
        <v>50.25333333333333</v>
      </c>
      <c r="H42" s="4">
        <f>_xlfn.STDEV.P(B42:B44)</f>
        <v>2.6948510575210323</v>
      </c>
      <c r="I42" s="3">
        <v>2.1452790546272191</v>
      </c>
      <c r="J42" s="5">
        <f>ABS(H42-I42)</f>
        <v>0.54957200289381314</v>
      </c>
      <c r="K42">
        <v>27905468025949.953</v>
      </c>
      <c r="L42">
        <v>197932609022465</v>
      </c>
      <c r="M42">
        <f>G42*K42/L42</f>
        <v>7.0849507489267465</v>
      </c>
      <c r="N42">
        <f>J42*K42/L42</f>
        <v>7.7481239854570713E-2</v>
      </c>
    </row>
    <row r="43" spans="1:14" x14ac:dyDescent="0.3">
      <c r="A43" t="s">
        <v>24</v>
      </c>
      <c r="B43">
        <v>51.9</v>
      </c>
      <c r="E43" s="4"/>
      <c r="G43" s="5"/>
      <c r="H43" s="4"/>
      <c r="I43" s="3"/>
      <c r="J43" s="5"/>
    </row>
    <row r="44" spans="1:14" x14ac:dyDescent="0.3">
      <c r="A44" t="s">
        <v>25</v>
      </c>
      <c r="B44">
        <v>55.3</v>
      </c>
      <c r="E44" s="4"/>
      <c r="G44" s="5"/>
      <c r="H44" s="4"/>
      <c r="I44" s="3"/>
      <c r="J44" s="5"/>
    </row>
    <row r="45" spans="1:14" x14ac:dyDescent="0.3">
      <c r="A45" t="s">
        <v>26</v>
      </c>
      <c r="B45">
        <v>50.7</v>
      </c>
      <c r="E45" s="4"/>
      <c r="G45" s="5"/>
      <c r="H45" s="4"/>
      <c r="I45" s="3"/>
      <c r="J45" s="5"/>
    </row>
    <row r="46" spans="1:14" x14ac:dyDescent="0.3">
      <c r="A46" t="s">
        <v>27</v>
      </c>
      <c r="B46">
        <v>2.41</v>
      </c>
      <c r="D46">
        <v>3.5</v>
      </c>
      <c r="E46" s="4">
        <f>AVERAGE(B46:B48)</f>
        <v>2.0700000000000003</v>
      </c>
      <c r="F46" s="3">
        <v>0.78666666666666663</v>
      </c>
      <c r="G46" s="5">
        <f>E46-F46</f>
        <v>1.2833333333333337</v>
      </c>
      <c r="H46" s="4">
        <f>_xlfn.STDEV.P(B46:B48)</f>
        <v>0.82768754168868919</v>
      </c>
      <c r="I46" s="3">
        <v>0.57412735714493013</v>
      </c>
      <c r="J46" s="5">
        <f>ABS(H46-I46)</f>
        <v>0.25356018454375906</v>
      </c>
      <c r="K46">
        <v>27905468025949.953</v>
      </c>
      <c r="L46">
        <v>197932609022465</v>
      </c>
      <c r="M46">
        <f>G46*K46/L46</f>
        <v>0.18093035542165017</v>
      </c>
      <c r="N46">
        <f>J46*K46/L46</f>
        <v>3.574810465736223E-2</v>
      </c>
    </row>
    <row r="47" spans="1:14" x14ac:dyDescent="0.3">
      <c r="A47" t="s">
        <v>28</v>
      </c>
      <c r="B47">
        <v>0.93</v>
      </c>
      <c r="E47" s="4"/>
      <c r="F47" s="3"/>
      <c r="G47" s="5"/>
      <c r="H47" s="4"/>
      <c r="I47" s="3"/>
      <c r="J47" s="5"/>
    </row>
    <row r="48" spans="1:14" x14ac:dyDescent="0.3">
      <c r="A48" t="s">
        <v>29</v>
      </c>
      <c r="B48">
        <v>2.87</v>
      </c>
      <c r="E48" s="4"/>
      <c r="F48" s="3"/>
      <c r="G48" s="5"/>
      <c r="H48" s="4"/>
      <c r="I48" s="3"/>
      <c r="J48" s="5"/>
    </row>
    <row r="49" spans="1:14" x14ac:dyDescent="0.3">
      <c r="A49" t="s">
        <v>30</v>
      </c>
      <c r="B49">
        <v>3.54</v>
      </c>
      <c r="D49">
        <v>5</v>
      </c>
      <c r="E49" s="4">
        <f>AVERAGE(B49:B51)</f>
        <v>3.2433333333333336</v>
      </c>
      <c r="F49" s="3">
        <v>1.5066666666666666</v>
      </c>
      <c r="G49" s="5">
        <f>E49-F49</f>
        <v>1.736666666666667</v>
      </c>
      <c r="H49" s="4">
        <f>_xlfn.STDEV.P(B49:B51)</f>
        <v>0.33826353959925987</v>
      </c>
      <c r="I49" s="3">
        <v>0.79633884468582417</v>
      </c>
      <c r="J49" s="5">
        <f>ABS(H49-I49)</f>
        <v>0.4580753050865643</v>
      </c>
      <c r="K49">
        <v>27905468025949.953</v>
      </c>
      <c r="L49">
        <v>197932609022465</v>
      </c>
      <c r="M49">
        <f>G49*K49/L49</f>
        <v>0.2448434160381292</v>
      </c>
      <c r="N49">
        <f>J49*K49/L49</f>
        <v>6.458160604612434E-2</v>
      </c>
    </row>
    <row r="50" spans="1:14" x14ac:dyDescent="0.3">
      <c r="A50" t="s">
        <v>31</v>
      </c>
      <c r="B50">
        <v>3.42</v>
      </c>
      <c r="E50" s="4"/>
      <c r="F50" s="3"/>
      <c r="G50" s="5"/>
      <c r="H50" s="4"/>
      <c r="I50" s="3"/>
      <c r="J50" s="5"/>
    </row>
    <row r="51" spans="1:14" x14ac:dyDescent="0.3">
      <c r="A51" t="s">
        <v>32</v>
      </c>
      <c r="B51">
        <v>2.77</v>
      </c>
      <c r="E51" s="4"/>
      <c r="F51" s="3"/>
      <c r="G51" s="5"/>
      <c r="H51" s="4"/>
      <c r="I51" s="3"/>
      <c r="J51" s="5"/>
    </row>
    <row r="52" spans="1:14" x14ac:dyDescent="0.3">
      <c r="A52" t="s">
        <v>33</v>
      </c>
      <c r="B52">
        <v>3.94</v>
      </c>
      <c r="D52">
        <v>7</v>
      </c>
      <c r="E52" s="4">
        <f>AVERAGE(B52:B54)</f>
        <v>5.14</v>
      </c>
      <c r="F52" s="3">
        <v>3.06</v>
      </c>
      <c r="G52" s="5">
        <f>E52-F52</f>
        <v>2.0799999999999996</v>
      </c>
      <c r="H52" s="4">
        <f>_xlfn.STDEV.P(B52:B54)</f>
        <v>0.85170417399470411</v>
      </c>
      <c r="I52" s="3">
        <v>1.3308894269121954</v>
      </c>
      <c r="J52" s="5">
        <f>ABS(H52-I52)</f>
        <v>0.47918525291749126</v>
      </c>
      <c r="K52">
        <v>27905468025949.953</v>
      </c>
      <c r="L52">
        <v>197932609022465</v>
      </c>
      <c r="M52">
        <f>G52*K52/L52</f>
        <v>0.29324816047560953</v>
      </c>
      <c r="N52">
        <f>J52*K52/L52</f>
        <v>6.7557785550525967E-2</v>
      </c>
    </row>
    <row r="53" spans="1:14" x14ac:dyDescent="0.3">
      <c r="A53" t="s">
        <v>34</v>
      </c>
      <c r="B53">
        <v>5.83</v>
      </c>
      <c r="E53" s="4"/>
      <c r="F53" s="3"/>
      <c r="G53" s="5"/>
      <c r="H53" s="4"/>
      <c r="I53" s="3"/>
      <c r="J53" s="5"/>
    </row>
    <row r="54" spans="1:14" x14ac:dyDescent="0.3">
      <c r="A54" t="s">
        <v>35</v>
      </c>
      <c r="B54">
        <v>5.65</v>
      </c>
      <c r="E54" s="4"/>
      <c r="F54" s="3"/>
      <c r="G54" s="5"/>
      <c r="H54" s="4"/>
      <c r="I54" s="3"/>
      <c r="J54" s="5"/>
    </row>
    <row r="55" spans="1:14" x14ac:dyDescent="0.3">
      <c r="A55" t="s">
        <v>36</v>
      </c>
      <c r="B55">
        <v>43.3</v>
      </c>
      <c r="D55">
        <v>9</v>
      </c>
      <c r="E55" s="4">
        <f>AVERAGE(B55:B57)</f>
        <v>35.06666666666667</v>
      </c>
      <c r="F55" s="3">
        <v>3.0166666666666671</v>
      </c>
      <c r="G55" s="5">
        <f>E55-F55</f>
        <v>32.050000000000004</v>
      </c>
      <c r="H55" s="4">
        <f>_xlfn.STDEV.P(B55:B57)</f>
        <v>6.014611837480067</v>
      </c>
      <c r="I55" s="3">
        <v>1.2728183950063996</v>
      </c>
      <c r="J55" s="5">
        <f>ABS(H55-I55)</f>
        <v>4.7417934424736679</v>
      </c>
      <c r="K55">
        <v>27905468025949.953</v>
      </c>
      <c r="L55">
        <v>197932609022465</v>
      </c>
      <c r="M55">
        <f>G55*K55/L55</f>
        <v>4.5185593957900423</v>
      </c>
      <c r="N55">
        <f>J55*K55/L55</f>
        <v>0.6685202905580343</v>
      </c>
    </row>
    <row r="56" spans="1:14" x14ac:dyDescent="0.3">
      <c r="A56" t="s">
        <v>37</v>
      </c>
      <c r="B56">
        <v>29.1</v>
      </c>
      <c r="E56" s="4"/>
      <c r="F56" s="3"/>
      <c r="G56" s="5"/>
      <c r="H56" s="4"/>
      <c r="I56" s="3"/>
      <c r="J56" s="5"/>
    </row>
    <row r="57" spans="1:14" x14ac:dyDescent="0.3">
      <c r="A57" t="s">
        <v>38</v>
      </c>
      <c r="B57">
        <v>32.799999999999997</v>
      </c>
      <c r="E57" s="4"/>
      <c r="F57" s="3"/>
      <c r="G57" s="5"/>
      <c r="H57" s="4"/>
      <c r="I57" s="3"/>
      <c r="J57" s="5"/>
    </row>
    <row r="58" spans="1:14" x14ac:dyDescent="0.3">
      <c r="A58" t="s">
        <v>39</v>
      </c>
      <c r="B58">
        <v>77.099999999999994</v>
      </c>
      <c r="D58">
        <v>10</v>
      </c>
      <c r="E58" s="4">
        <f>AVERAGE(B58:B60)</f>
        <v>84.466666666666654</v>
      </c>
      <c r="F58" s="3">
        <v>4.7866666666666662</v>
      </c>
      <c r="G58" s="5">
        <f>E58-F58</f>
        <v>79.679999999999993</v>
      </c>
      <c r="H58" s="4">
        <f>_xlfn.STDEV.P(B58:B60)</f>
        <v>5.3243674637358485</v>
      </c>
      <c r="I58" s="3">
        <v>2.9892399628593784</v>
      </c>
      <c r="J58" s="5">
        <f>ABS(H58-I58)</f>
        <v>2.33512750087647</v>
      </c>
      <c r="K58">
        <v>27905468025949.953</v>
      </c>
      <c r="L58">
        <v>197932609022465</v>
      </c>
      <c r="M58">
        <f>G58*K58/L58</f>
        <v>11.233660301296426</v>
      </c>
      <c r="N58">
        <f>J58*K58/L58</f>
        <v>0.32921723274424625</v>
      </c>
    </row>
    <row r="59" spans="1:14" x14ac:dyDescent="0.3">
      <c r="A59" t="s">
        <v>40</v>
      </c>
      <c r="B59">
        <v>89.5</v>
      </c>
      <c r="E59" s="4"/>
      <c r="F59" s="3"/>
      <c r="G59" s="5"/>
      <c r="H59" s="4"/>
      <c r="I59" s="3"/>
      <c r="J59" s="5"/>
    </row>
    <row r="60" spans="1:14" x14ac:dyDescent="0.3">
      <c r="A60" t="s">
        <v>41</v>
      </c>
      <c r="B60">
        <v>86.8</v>
      </c>
      <c r="E60" s="4"/>
      <c r="F60" s="3"/>
      <c r="G60" s="5"/>
      <c r="H60" s="4"/>
      <c r="I60" s="3"/>
      <c r="J60" s="5"/>
    </row>
    <row r="61" spans="1:14" x14ac:dyDescent="0.3">
      <c r="A61" t="s">
        <v>42</v>
      </c>
      <c r="B61">
        <v>99.9</v>
      </c>
      <c r="D61">
        <v>10.5</v>
      </c>
      <c r="E61" s="4">
        <f>AVERAGE(B61:B63)</f>
        <v>108.96666666666665</v>
      </c>
      <c r="F61" s="3">
        <v>4.9799999999999995</v>
      </c>
      <c r="G61" s="5">
        <f>E61-F61</f>
        <v>103.98666666666665</v>
      </c>
      <c r="H61" s="4">
        <f>_xlfn.STDEV.P(B61:B63)</f>
        <v>7.827444595069891</v>
      </c>
      <c r="I61" s="3">
        <v>2.1452790546272191</v>
      </c>
      <c r="J61" s="5">
        <f>ABS(H61-I61)</f>
        <v>5.6821655404426714</v>
      </c>
      <c r="K61">
        <v>27905468025949.953</v>
      </c>
      <c r="L61">
        <v>197932609022465</v>
      </c>
      <c r="M61">
        <f>G61*K61/L61</f>
        <v>14.660528227879992</v>
      </c>
      <c r="N61">
        <f>J61*K61/L61</f>
        <v>0.80109836165995729</v>
      </c>
    </row>
    <row r="62" spans="1:14" x14ac:dyDescent="0.3">
      <c r="A62" t="s">
        <v>43</v>
      </c>
      <c r="B62">
        <v>119</v>
      </c>
      <c r="E62" s="4"/>
      <c r="F62" s="3"/>
      <c r="G62" s="5"/>
      <c r="H62" s="4"/>
      <c r="I62" s="3"/>
      <c r="J62" s="5"/>
    </row>
    <row r="63" spans="1:14" x14ac:dyDescent="0.3">
      <c r="A63" t="s">
        <v>44</v>
      </c>
      <c r="B63">
        <v>108</v>
      </c>
      <c r="E63" s="4"/>
      <c r="F63" s="3"/>
      <c r="G63" s="5"/>
      <c r="H63" s="4"/>
      <c r="I63" s="3"/>
      <c r="J63" s="5"/>
    </row>
    <row r="64" spans="1:14" x14ac:dyDescent="0.3">
      <c r="A64" t="s">
        <v>45</v>
      </c>
      <c r="B64">
        <v>100</v>
      </c>
      <c r="E64" s="4"/>
      <c r="F64" s="3"/>
      <c r="G64" s="5"/>
      <c r="H64" s="4"/>
      <c r="I64" s="3"/>
      <c r="J64" s="5"/>
    </row>
    <row r="65" spans="1:14" x14ac:dyDescent="0.3">
      <c r="A65" t="s">
        <v>46</v>
      </c>
      <c r="B65">
        <v>2.04</v>
      </c>
      <c r="D65">
        <v>3.5</v>
      </c>
      <c r="E65" s="4">
        <f>AVERAGE(B65:B67)</f>
        <v>2.813333333333333</v>
      </c>
      <c r="F65" s="3">
        <v>0.78666666666666663</v>
      </c>
      <c r="G65" s="5">
        <f>E65-F65</f>
        <v>2.0266666666666664</v>
      </c>
      <c r="H65" s="4">
        <f>_xlfn.STDEV.P(B65:B67)</f>
        <v>1.0306739973866073</v>
      </c>
      <c r="I65" s="3">
        <v>0.57412735714493013</v>
      </c>
      <c r="J65" s="5">
        <f>ABS(H65-I65)</f>
        <v>0.45654664024167713</v>
      </c>
      <c r="K65">
        <v>27905468025949.953</v>
      </c>
      <c r="L65">
        <v>197932609022465</v>
      </c>
      <c r="M65">
        <f>G65*K65/L65</f>
        <v>0.28572897687367083</v>
      </c>
      <c r="N65">
        <f>J65*K65/L65</f>
        <v>6.436608770297679E-2</v>
      </c>
    </row>
    <row r="66" spans="1:14" x14ac:dyDescent="0.3">
      <c r="A66" t="s">
        <v>47</v>
      </c>
      <c r="B66">
        <v>4.2699999999999996</v>
      </c>
      <c r="E66" s="4"/>
      <c r="F66" s="3"/>
      <c r="G66" s="5"/>
      <c r="H66" s="4"/>
      <c r="I66" s="3"/>
      <c r="J66" s="5"/>
    </row>
    <row r="67" spans="1:14" x14ac:dyDescent="0.3">
      <c r="A67" t="s">
        <v>48</v>
      </c>
      <c r="B67">
        <v>2.13</v>
      </c>
      <c r="E67" s="4"/>
      <c r="F67" s="3"/>
      <c r="G67" s="5"/>
      <c r="H67" s="4"/>
      <c r="I67" s="3"/>
      <c r="J67" s="5"/>
    </row>
    <row r="68" spans="1:14" x14ac:dyDescent="0.3">
      <c r="A68" t="s">
        <v>49</v>
      </c>
      <c r="B68">
        <v>3.01</v>
      </c>
      <c r="D68">
        <v>5</v>
      </c>
      <c r="E68" s="4">
        <f>AVERAGE(B68:B70)</f>
        <v>5.0666666666666664</v>
      </c>
      <c r="F68" s="3">
        <v>1.5066666666666666</v>
      </c>
      <c r="G68" s="5">
        <f>E68-F68</f>
        <v>3.5599999999999996</v>
      </c>
      <c r="H68" s="4">
        <f>_xlfn.STDEV.P(B68:B70)</f>
        <v>1.5208404109424341</v>
      </c>
      <c r="I68" s="3">
        <v>0.79633884468582417</v>
      </c>
      <c r="J68" s="5">
        <f>ABS(H68-I68)</f>
        <v>0.72450156625660989</v>
      </c>
      <c r="K68">
        <v>27905468025949.953</v>
      </c>
      <c r="L68">
        <v>197932609022465</v>
      </c>
      <c r="M68">
        <f>G68*K68/L68</f>
        <v>0.5019055054294087</v>
      </c>
      <c r="N68">
        <f>J68*K68/L68</f>
        <v>0.1021436305607927</v>
      </c>
    </row>
    <row r="69" spans="1:14" x14ac:dyDescent="0.3">
      <c r="A69" t="s">
        <v>50</v>
      </c>
      <c r="B69">
        <v>6.64</v>
      </c>
      <c r="E69" s="4"/>
      <c r="F69" s="3"/>
      <c r="G69" s="5"/>
      <c r="H69" s="4"/>
      <c r="I69" s="3"/>
      <c r="J69" s="5"/>
    </row>
    <row r="70" spans="1:14" x14ac:dyDescent="0.3">
      <c r="A70" t="s">
        <v>51</v>
      </c>
      <c r="B70">
        <v>5.55</v>
      </c>
      <c r="E70" s="4"/>
      <c r="F70" s="3"/>
      <c r="G70" s="5"/>
      <c r="H70" s="4"/>
      <c r="I70" s="3"/>
      <c r="J70" s="5"/>
    </row>
    <row r="71" spans="1:14" x14ac:dyDescent="0.3">
      <c r="A71" t="s">
        <v>52</v>
      </c>
      <c r="B71">
        <v>6.92</v>
      </c>
      <c r="D71">
        <v>7</v>
      </c>
      <c r="E71" s="4">
        <f>AVERAGE(B71:B73)</f>
        <v>8.6266666666666669</v>
      </c>
      <c r="F71" s="3">
        <v>3.06</v>
      </c>
      <c r="G71" s="5">
        <f>E71-F71</f>
        <v>5.5666666666666664</v>
      </c>
      <c r="H71" s="4">
        <f>_xlfn.STDEV.P(B71:B73)</f>
        <v>3.0420314849711159</v>
      </c>
      <c r="I71" s="3">
        <v>1.3308894269121954</v>
      </c>
      <c r="J71" s="5">
        <f>ABS(H71-I71)</f>
        <v>1.7111420580589205</v>
      </c>
      <c r="K71">
        <v>27905468025949.953</v>
      </c>
      <c r="L71">
        <v>197932609022465</v>
      </c>
      <c r="M71">
        <f>G71*K71/L71</f>
        <v>0.78481478845235253</v>
      </c>
      <c r="N71">
        <f>J71*K71/L71</f>
        <v>0.24124483694145538</v>
      </c>
    </row>
    <row r="72" spans="1:14" x14ac:dyDescent="0.3">
      <c r="A72" t="s">
        <v>53</v>
      </c>
      <c r="B72">
        <v>12.9</v>
      </c>
      <c r="E72" s="4"/>
      <c r="F72" s="3"/>
      <c r="G72" s="5"/>
      <c r="H72" s="4"/>
      <c r="I72" s="3"/>
      <c r="J72" s="5"/>
    </row>
    <row r="73" spans="1:14" x14ac:dyDescent="0.3">
      <c r="A73" t="s">
        <v>54</v>
      </c>
      <c r="B73">
        <v>6.06</v>
      </c>
      <c r="E73" s="4"/>
      <c r="F73" s="3"/>
      <c r="G73" s="5"/>
      <c r="H73" s="4"/>
      <c r="I73" s="3"/>
      <c r="J73" s="5"/>
    </row>
    <row r="74" spans="1:14" x14ac:dyDescent="0.3">
      <c r="A74" t="s">
        <v>55</v>
      </c>
      <c r="B74">
        <v>65.7</v>
      </c>
      <c r="D74">
        <v>9</v>
      </c>
      <c r="E74" s="4">
        <f>AVERAGE(B74:B76)</f>
        <v>54.70000000000001</v>
      </c>
      <c r="F74" s="3">
        <v>3.0166666666666671</v>
      </c>
      <c r="G74" s="5">
        <f>E74-F74</f>
        <v>51.683333333333344</v>
      </c>
      <c r="H74" s="4">
        <f>_xlfn.STDEV.P(B74:B76)</f>
        <v>7.8740078740117596</v>
      </c>
      <c r="I74" s="3">
        <v>1.2728183950063996</v>
      </c>
      <c r="J74" s="5">
        <f>ABS(H74-I74)</f>
        <v>6.6011894790053596</v>
      </c>
      <c r="K74">
        <v>27905468025949.953</v>
      </c>
      <c r="L74">
        <v>197932609022465</v>
      </c>
      <c r="M74">
        <f>G74*K74/L74</f>
        <v>7.2865588592537298</v>
      </c>
      <c r="N74">
        <f>J74*K74/L74</f>
        <v>0.93066666907176399</v>
      </c>
    </row>
    <row r="75" spans="1:14" x14ac:dyDescent="0.3">
      <c r="A75" t="s">
        <v>56</v>
      </c>
      <c r="B75">
        <v>47.7</v>
      </c>
      <c r="E75" s="4"/>
      <c r="F75" s="3"/>
      <c r="G75" s="5"/>
      <c r="H75" s="4"/>
      <c r="I75" s="3"/>
      <c r="J75" s="5"/>
    </row>
    <row r="76" spans="1:14" x14ac:dyDescent="0.3">
      <c r="A76" t="s">
        <v>57</v>
      </c>
      <c r="B76">
        <v>50.7</v>
      </c>
      <c r="E76" s="4"/>
      <c r="F76" s="3"/>
      <c r="G76" s="5"/>
      <c r="H76" s="4"/>
      <c r="I76" s="3"/>
      <c r="J76" s="5"/>
    </row>
    <row r="77" spans="1:14" x14ac:dyDescent="0.3">
      <c r="A77" t="s">
        <v>58</v>
      </c>
      <c r="B77">
        <v>125</v>
      </c>
      <c r="D77">
        <v>10</v>
      </c>
      <c r="E77" s="4">
        <f>AVERAGE(B77:B79)</f>
        <v>117.66666666666667</v>
      </c>
      <c r="F77" s="3">
        <v>4.7866666666666662</v>
      </c>
      <c r="G77" s="5">
        <f>E77-F77</f>
        <v>112.88000000000001</v>
      </c>
      <c r="H77" s="4">
        <f>_xlfn.STDEV.P(B77:B79)</f>
        <v>10.370899457402697</v>
      </c>
      <c r="I77" s="3">
        <v>2.9892399628593784</v>
      </c>
      <c r="J77" s="5">
        <f>ABS(H77-I77)</f>
        <v>7.3816594945433183</v>
      </c>
      <c r="K77">
        <v>27905468025949.953</v>
      </c>
      <c r="L77">
        <v>197932609022465</v>
      </c>
      <c r="M77">
        <f>G77*K77/L77</f>
        <v>15.914352093503275</v>
      </c>
      <c r="N77">
        <f>J77*K77/L77</f>
        <v>1.040700994246224</v>
      </c>
    </row>
    <row r="78" spans="1:14" x14ac:dyDescent="0.3">
      <c r="A78" t="s">
        <v>59</v>
      </c>
      <c r="B78">
        <v>103</v>
      </c>
      <c r="E78" s="4"/>
      <c r="F78" s="3"/>
      <c r="G78" s="5"/>
      <c r="H78" s="4"/>
      <c r="I78" s="3"/>
      <c r="J78" s="5"/>
    </row>
    <row r="79" spans="1:14" x14ac:dyDescent="0.3">
      <c r="A79" t="s">
        <v>60</v>
      </c>
      <c r="B79">
        <v>125</v>
      </c>
      <c r="E79" s="4"/>
      <c r="F79" s="3"/>
      <c r="G79" s="5"/>
      <c r="H79" s="4"/>
      <c r="I79" s="3"/>
      <c r="J79" s="5"/>
    </row>
    <row r="80" spans="1:14" x14ac:dyDescent="0.3">
      <c r="A80" t="s">
        <v>61</v>
      </c>
      <c r="B80">
        <v>194</v>
      </c>
      <c r="D80">
        <v>10.5</v>
      </c>
      <c r="E80" s="4">
        <f>AVERAGE(B80:B82)</f>
        <v>176.33333333333334</v>
      </c>
      <c r="F80" s="3">
        <v>4.9799999999999995</v>
      </c>
      <c r="G80" s="5">
        <f>E80-F80</f>
        <v>171.35333333333335</v>
      </c>
      <c r="H80" s="4">
        <f>_xlfn.STDEV.P(B80:B82)</f>
        <v>16.131404843417148</v>
      </c>
      <c r="I80" s="3">
        <v>2.1452790546272191</v>
      </c>
      <c r="J80" s="5">
        <f>ABS(H80-I80)</f>
        <v>13.986125788789929</v>
      </c>
      <c r="K80">
        <v>27905468025949.953</v>
      </c>
      <c r="L80">
        <v>197932609022465</v>
      </c>
      <c r="M80">
        <f>G80*K80/L80</f>
        <v>24.158197015078823</v>
      </c>
      <c r="N80">
        <f>J80*K80/L80</f>
        <v>1.9718296441072742</v>
      </c>
    </row>
    <row r="81" spans="1:2" x14ac:dyDescent="0.3">
      <c r="A81" t="s">
        <v>62</v>
      </c>
      <c r="B81">
        <v>180</v>
      </c>
    </row>
    <row r="82" spans="1:2" x14ac:dyDescent="0.3">
      <c r="A82" t="s">
        <v>63</v>
      </c>
      <c r="B82">
        <v>155</v>
      </c>
    </row>
    <row r="83" spans="1:2" x14ac:dyDescent="0.3">
      <c r="A83" t="s">
        <v>64</v>
      </c>
      <c r="B83">
        <v>199</v>
      </c>
    </row>
    <row r="84" spans="1:2" x14ac:dyDescent="0.3">
      <c r="A84" s="1">
        <v>43620.846203703702</v>
      </c>
    </row>
  </sheetData>
  <mergeCells count="1">
    <mergeCell ref="L6:R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CDFA-27E2-4E97-974F-DB49A702984F}">
  <dimension ref="A1:AG44"/>
  <sheetViews>
    <sheetView workbookViewId="0">
      <selection activeCell="P26" sqref="P26:Q43"/>
    </sheetView>
  </sheetViews>
  <sheetFormatPr defaultRowHeight="14.4" x14ac:dyDescent="0.3"/>
  <cols>
    <col min="14" max="15" width="9.5546875" bestFit="1" customWidth="1"/>
    <col min="16" max="17" width="9.5546875" customWidth="1"/>
    <col min="20" max="20" width="18.77734375" bestFit="1" customWidth="1"/>
    <col min="21" max="21" width="18.77734375" customWidth="1"/>
  </cols>
  <sheetData>
    <row r="1" spans="1:33" x14ac:dyDescent="0.3">
      <c r="B1" s="15" t="s">
        <v>76</v>
      </c>
      <c r="C1" s="15"/>
      <c r="D1" s="15"/>
      <c r="E1" s="13" t="s">
        <v>80</v>
      </c>
      <c r="G1" s="11" t="s">
        <v>109</v>
      </c>
      <c r="H1" s="10">
        <v>5.6215980089973865</v>
      </c>
      <c r="I1" s="10">
        <v>9.1045373808444356</v>
      </c>
      <c r="V1" s="11" t="s">
        <v>109</v>
      </c>
      <c r="W1" s="10">
        <v>5.1855209722079012</v>
      </c>
      <c r="X1" s="10">
        <v>9.3948462821799392</v>
      </c>
    </row>
    <row r="2" spans="1:33" x14ac:dyDescent="0.3">
      <c r="B2">
        <v>3.5</v>
      </c>
      <c r="C2">
        <v>0.2265154060084035</v>
      </c>
      <c r="D2">
        <v>3.5618058126341334E-2</v>
      </c>
      <c r="E2">
        <f>C7-C3</f>
        <v>6.9120095260821559</v>
      </c>
      <c r="F2">
        <f>MAX(D7,D2)</f>
        <v>7.7481239854570713E-2</v>
      </c>
      <c r="G2" s="14" t="s">
        <v>76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6"/>
      <c r="V2" s="14" t="s">
        <v>78</v>
      </c>
      <c r="W2" s="14"/>
      <c r="X2" s="14"/>
      <c r="Y2" s="14"/>
      <c r="Z2" s="14"/>
      <c r="AA2" s="14"/>
      <c r="AB2" s="14"/>
      <c r="AC2" s="14"/>
      <c r="AD2" s="14"/>
      <c r="AE2" s="14"/>
    </row>
    <row r="3" spans="1:33" x14ac:dyDescent="0.3">
      <c r="A3" t="s">
        <v>79</v>
      </c>
      <c r="B3">
        <v>5</v>
      </c>
      <c r="C3">
        <v>0.17294122284459021</v>
      </c>
      <c r="D3">
        <v>9.2444513838640958E-3</v>
      </c>
      <c r="G3" t="s">
        <v>65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114</v>
      </c>
      <c r="Q3" t="s">
        <v>115</v>
      </c>
      <c r="R3" t="s">
        <v>87</v>
      </c>
      <c r="S3" t="s">
        <v>106</v>
      </c>
      <c r="T3" t="s">
        <v>107</v>
      </c>
      <c r="U3" s="8"/>
      <c r="V3" t="s">
        <v>65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  <c r="AF3" t="s">
        <v>106</v>
      </c>
      <c r="AG3" t="s">
        <v>107</v>
      </c>
    </row>
    <row r="4" spans="1:33" x14ac:dyDescent="0.3">
      <c r="B4">
        <v>7</v>
      </c>
      <c r="C4">
        <v>0.91781034841164311</v>
      </c>
      <c r="D4">
        <v>0.13548975588057455</v>
      </c>
      <c r="G4">
        <v>3.5</v>
      </c>
      <c r="H4" s="10">
        <f>H1</f>
        <v>5.6215980089973865</v>
      </c>
      <c r="I4" s="10">
        <f>I1</f>
        <v>9.1045373808444356</v>
      </c>
      <c r="J4">
        <f t="shared" ref="J4:K21" si="0">10^-H4</f>
        <v>2.39002250840532E-6</v>
      </c>
      <c r="K4">
        <f t="shared" si="0"/>
        <v>7.8607252894940737E-10</v>
      </c>
      <c r="L4">
        <f t="shared" ref="L4:L21" si="1">10^-G4</f>
        <v>3.1622776601683783E-4</v>
      </c>
      <c r="M4" s="10">
        <v>7.5257628875904024</v>
      </c>
      <c r="N4" s="10">
        <f>0.918/M4</f>
        <v>0.12198098899896714</v>
      </c>
      <c r="O4" s="10">
        <f t="shared" ref="O4:O21" si="2">1-N4</f>
        <v>0.87801901100103286</v>
      </c>
      <c r="P4" s="9">
        <f>$M4*(($N4*($J4/($L4+$J4))))</f>
        <v>6.8861210570553451E-3</v>
      </c>
      <c r="Q4" s="9">
        <f>$M4*(($O4*$K4/($K4+$L4)))</f>
        <v>1.642540134161681E-5</v>
      </c>
      <c r="R4" s="9">
        <f>$M4*(($N4*($J4/($L4+$J4)))+($O4*$K4/($K4+$L4)))</f>
        <v>6.9025464583969617E-3</v>
      </c>
      <c r="S4" s="9">
        <v>0.2265154060084035</v>
      </c>
      <c r="T4" s="8">
        <f>(R4-S4)^2</f>
        <v>4.8229808079730895E-2</v>
      </c>
      <c r="V4">
        <v>3.5</v>
      </c>
      <c r="W4" s="10">
        <f>W1</f>
        <v>5.1855209722079012</v>
      </c>
      <c r="X4" s="10">
        <f>X1</f>
        <v>9.3948462821799392</v>
      </c>
      <c r="Y4">
        <f t="shared" ref="Y4:Y21" si="3">10^-W4</f>
        <v>6.5234753818363517E-6</v>
      </c>
      <c r="Z4">
        <f t="shared" ref="Z4:Z21" si="4">10^-X4</f>
        <v>4.0285960058876319E-10</v>
      </c>
      <c r="AA4">
        <f t="shared" ref="AA4:AA21" si="5">10^-V4</f>
        <v>3.1622776601683783E-4</v>
      </c>
      <c r="AB4" s="10">
        <v>14.660528227879992</v>
      </c>
      <c r="AC4" s="10">
        <f>0.293/AB4</f>
        <v>1.9985637314404579E-2</v>
      </c>
      <c r="AD4" s="10">
        <f t="shared" ref="AD4:AD21" si="6">1-AC4</f>
        <v>0.98001436268559539</v>
      </c>
      <c r="AE4" s="9">
        <f t="shared" ref="AE4:AE21" si="7">AB4*((AC4*(Y4/(AA4+Y4)))+(AD4*Z4/(Z4+AA4)))</f>
        <v>5.9404443205468985E-3</v>
      </c>
      <c r="AF4" s="9">
        <v>0.18093035542165017</v>
      </c>
      <c r="AG4" s="8">
        <f>(AE4-AF4)^2</f>
        <v>3.0621468987172024E-2</v>
      </c>
    </row>
    <row r="5" spans="1:33" x14ac:dyDescent="0.3">
      <c r="B5">
        <v>9</v>
      </c>
      <c r="C5">
        <v>2.76564971858808</v>
      </c>
      <c r="D5">
        <v>0.41473562208781861</v>
      </c>
      <c r="G5">
        <v>4</v>
      </c>
      <c r="H5" s="10">
        <f>H1</f>
        <v>5.6215980089973865</v>
      </c>
      <c r="I5" s="10">
        <f>I1</f>
        <v>9.1045373808444356</v>
      </c>
      <c r="J5">
        <f t="shared" si="0"/>
        <v>2.39002250840532E-6</v>
      </c>
      <c r="K5">
        <f t="shared" si="0"/>
        <v>7.8607252894940737E-10</v>
      </c>
      <c r="L5">
        <f t="shared" si="1"/>
        <v>1E-4</v>
      </c>
      <c r="M5" s="10">
        <v>7.5257628875904024</v>
      </c>
      <c r="N5" s="10">
        <f>0.918/M5</f>
        <v>0.12198098899896714</v>
      </c>
      <c r="O5" s="10">
        <f t="shared" si="2"/>
        <v>0.87801901100103286</v>
      </c>
      <c r="P5" s="9">
        <f t="shared" ref="P5:P21" si="8">$M5*(($N5*($J5/($L5+$J5))))</f>
        <v>2.1428266240843655E-2</v>
      </c>
      <c r="Q5" s="9">
        <f t="shared" ref="Q5:Q21" si="9">$M5*(($O5*$K5/($K5+$L5)))</f>
        <v>5.1941400540381457E-5</v>
      </c>
      <c r="R5" s="9">
        <f t="shared" ref="R5:R21" si="10">M5*((N5*(J5/(L5+J5)))+(O5*K5/(K5+L5)))</f>
        <v>2.1480207641384041E-2</v>
      </c>
      <c r="S5" s="9"/>
      <c r="V5">
        <v>4</v>
      </c>
      <c r="W5" s="10">
        <f>W1</f>
        <v>5.1855209722079012</v>
      </c>
      <c r="X5" s="10">
        <f>X1</f>
        <v>9.3948462821799392</v>
      </c>
      <c r="Y5">
        <f t="shared" si="3"/>
        <v>6.5234753818363517E-6</v>
      </c>
      <c r="Z5">
        <f t="shared" si="4"/>
        <v>4.0285960058876319E-10</v>
      </c>
      <c r="AA5">
        <f t="shared" si="5"/>
        <v>1E-4</v>
      </c>
      <c r="AB5" s="10">
        <v>14.660528227879992</v>
      </c>
      <c r="AC5" s="10">
        <f t="shared" ref="AC5:AC21" si="11">0.293/AB5</f>
        <v>1.9985637314404579E-2</v>
      </c>
      <c r="AD5" s="10">
        <f t="shared" si="6"/>
        <v>0.98001436268559539</v>
      </c>
      <c r="AE5" s="9">
        <f t="shared" si="7"/>
        <v>1.8001139532024899E-2</v>
      </c>
      <c r="AF5" s="9"/>
    </row>
    <row r="6" spans="1:33" x14ac:dyDescent="0.3">
      <c r="B6">
        <v>10</v>
      </c>
      <c r="C6">
        <v>7.5257628875904024</v>
      </c>
      <c r="D6">
        <v>0.2090742121348014</v>
      </c>
      <c r="G6">
        <v>4.5</v>
      </c>
      <c r="H6" s="10">
        <f>H1</f>
        <v>5.6215980089973865</v>
      </c>
      <c r="I6" s="10">
        <f>I1</f>
        <v>9.1045373808444356</v>
      </c>
      <c r="J6">
        <f t="shared" si="0"/>
        <v>2.39002250840532E-6</v>
      </c>
      <c r="K6">
        <f t="shared" si="0"/>
        <v>7.8607252894940737E-10</v>
      </c>
      <c r="L6">
        <f t="shared" si="1"/>
        <v>3.1622776601683748E-5</v>
      </c>
      <c r="M6" s="10">
        <v>7.5257628875904024</v>
      </c>
      <c r="N6" s="10">
        <f t="shared" ref="N6:N21" si="12">0.918/M6</f>
        <v>0.12198098899896714</v>
      </c>
      <c r="O6" s="10">
        <f t="shared" si="2"/>
        <v>0.87801901100103286</v>
      </c>
      <c r="P6" s="9">
        <f t="shared" si="8"/>
        <v>6.4506324681324903E-2</v>
      </c>
      <c r="Q6" s="9">
        <f t="shared" si="9"/>
        <v>1.6425033881403247E-4</v>
      </c>
      <c r="R6" s="9">
        <f t="shared" si="10"/>
        <v>6.467057502013894E-2</v>
      </c>
      <c r="S6" s="9"/>
      <c r="U6" s="8"/>
      <c r="V6">
        <v>4.5</v>
      </c>
      <c r="W6" s="10">
        <f>W1</f>
        <v>5.1855209722079012</v>
      </c>
      <c r="X6" s="10">
        <f>X1</f>
        <v>9.3948462821799392</v>
      </c>
      <c r="Y6">
        <f t="shared" si="3"/>
        <v>6.5234753818363517E-6</v>
      </c>
      <c r="Z6">
        <f t="shared" si="4"/>
        <v>4.0285960058876319E-10</v>
      </c>
      <c r="AA6">
        <f t="shared" si="5"/>
        <v>3.1622776601683748E-5</v>
      </c>
      <c r="AB6" s="10">
        <v>14.660528227879992</v>
      </c>
      <c r="AC6" s="10">
        <f t="shared" si="11"/>
        <v>1.9985637314404579E-2</v>
      </c>
      <c r="AD6" s="10">
        <f t="shared" si="6"/>
        <v>0.98001436268559539</v>
      </c>
      <c r="AE6" s="9">
        <f t="shared" si="7"/>
        <v>5.0289614933841341E-2</v>
      </c>
      <c r="AF6" s="9"/>
    </row>
    <row r="7" spans="1:33" x14ac:dyDescent="0.3">
      <c r="A7" t="s">
        <v>111</v>
      </c>
      <c r="B7">
        <v>10.5</v>
      </c>
      <c r="C7">
        <v>7.0849507489267465</v>
      </c>
      <c r="D7">
        <v>7.7481239854570713E-2</v>
      </c>
      <c r="G7">
        <v>5</v>
      </c>
      <c r="H7" s="10">
        <f>H1</f>
        <v>5.6215980089973865</v>
      </c>
      <c r="I7" s="10">
        <f>I1</f>
        <v>9.1045373808444356</v>
      </c>
      <c r="J7">
        <f t="shared" si="0"/>
        <v>2.39002250840532E-6</v>
      </c>
      <c r="K7">
        <f t="shared" si="0"/>
        <v>7.8607252894940737E-10</v>
      </c>
      <c r="L7">
        <f t="shared" si="1"/>
        <v>1.0000000000000001E-5</v>
      </c>
      <c r="M7" s="10">
        <v>7.5257628875904024</v>
      </c>
      <c r="N7" s="10">
        <f t="shared" si="12"/>
        <v>0.12198098899896714</v>
      </c>
      <c r="O7" s="10">
        <f t="shared" si="2"/>
        <v>0.87801901100103286</v>
      </c>
      <c r="P7" s="9">
        <f t="shared" si="8"/>
        <v>0.17708124914443529</v>
      </c>
      <c r="Q7" s="9">
        <f t="shared" si="9"/>
        <v>5.1937726155487564E-4</v>
      </c>
      <c r="R7" s="9">
        <f>M7*((N7*(J7/(L7+J7)))+(O7*K7/(K7+L7)))</f>
        <v>0.1776006264059902</v>
      </c>
      <c r="S7" s="9">
        <v>0.17294122284459021</v>
      </c>
      <c r="T7" s="8">
        <f>(R7-S7)^2</f>
        <v>2.1710041547986897E-5</v>
      </c>
      <c r="V7">
        <v>5</v>
      </c>
      <c r="W7" s="10">
        <f>W1</f>
        <v>5.1855209722079012</v>
      </c>
      <c r="X7" s="10">
        <f>X1</f>
        <v>9.3948462821799392</v>
      </c>
      <c r="Y7">
        <f t="shared" si="3"/>
        <v>6.5234753818363517E-6</v>
      </c>
      <c r="Z7">
        <f t="shared" si="4"/>
        <v>4.0285960058876319E-10</v>
      </c>
      <c r="AA7">
        <f t="shared" si="5"/>
        <v>1.0000000000000001E-5</v>
      </c>
      <c r="AB7" s="10">
        <v>14.660528227879992</v>
      </c>
      <c r="AC7" s="10">
        <f t="shared" si="11"/>
        <v>1.9985637314404579E-2</v>
      </c>
      <c r="AD7" s="10">
        <f t="shared" si="6"/>
        <v>0.98001436268559539</v>
      </c>
      <c r="AE7" s="9">
        <f t="shared" si="7"/>
        <v>0.11625531581678425</v>
      </c>
      <c r="AF7" s="9">
        <v>0.105</v>
      </c>
      <c r="AG7" s="8">
        <f>(AE7-AF7)^2</f>
        <v>1.2668213413555377E-4</v>
      </c>
    </row>
    <row r="8" spans="1:33" x14ac:dyDescent="0.3">
      <c r="B8" s="15" t="s">
        <v>78</v>
      </c>
      <c r="C8" s="15"/>
      <c r="D8" s="15"/>
      <c r="E8" s="13" t="s">
        <v>80</v>
      </c>
      <c r="G8">
        <v>5.5</v>
      </c>
      <c r="H8" s="10">
        <f>H1</f>
        <v>5.6215980089973865</v>
      </c>
      <c r="I8" s="10">
        <f>I1</f>
        <v>9.1045373808444356</v>
      </c>
      <c r="J8">
        <f t="shared" si="0"/>
        <v>2.39002250840532E-6</v>
      </c>
      <c r="K8">
        <f t="shared" si="0"/>
        <v>7.8607252894940737E-10</v>
      </c>
      <c r="L8">
        <f t="shared" si="1"/>
        <v>3.1622776601683767E-6</v>
      </c>
      <c r="M8" s="10">
        <v>7.5257628875904024</v>
      </c>
      <c r="N8" s="10">
        <f t="shared" si="12"/>
        <v>0.12198098899896714</v>
      </c>
      <c r="O8" s="10">
        <f t="shared" si="2"/>
        <v>0.87801901100103286</v>
      </c>
      <c r="P8" s="9">
        <f t="shared" si="8"/>
        <v>0.39515887039653702</v>
      </c>
      <c r="Q8" s="9">
        <f t="shared" si="9"/>
        <v>1.6421360183333548E-3</v>
      </c>
      <c r="R8" s="9">
        <f t="shared" si="10"/>
        <v>0.39680100641487037</v>
      </c>
      <c r="S8" s="9"/>
      <c r="V8">
        <v>5.5</v>
      </c>
      <c r="W8" s="10">
        <f>W1</f>
        <v>5.1855209722079012</v>
      </c>
      <c r="X8" s="10">
        <f>X1</f>
        <v>9.3948462821799392</v>
      </c>
      <c r="Y8">
        <f t="shared" si="3"/>
        <v>6.5234753818363517E-6</v>
      </c>
      <c r="Z8">
        <f t="shared" si="4"/>
        <v>4.0285960058876319E-10</v>
      </c>
      <c r="AA8">
        <f t="shared" si="5"/>
        <v>3.1622776601683767E-6</v>
      </c>
      <c r="AB8" s="10">
        <v>14.660528227879992</v>
      </c>
      <c r="AC8" s="10">
        <f t="shared" si="11"/>
        <v>1.9985637314404579E-2</v>
      </c>
      <c r="AD8" s="10">
        <f t="shared" si="6"/>
        <v>0.98001436268559539</v>
      </c>
      <c r="AE8" s="9">
        <f t="shared" si="7"/>
        <v>0.19916927522713299</v>
      </c>
      <c r="AF8" s="9"/>
    </row>
    <row r="9" spans="1:33" x14ac:dyDescent="0.3">
      <c r="B9">
        <v>3.5</v>
      </c>
      <c r="C9">
        <v>0.18093035542165017</v>
      </c>
      <c r="D9">
        <v>3.574810465736223E-2</v>
      </c>
      <c r="E9">
        <f>C14-C10</f>
        <v>14.415684811841862</v>
      </c>
      <c r="F9">
        <f>MAX(D14,D9)</f>
        <v>0.80109836165995729</v>
      </c>
      <c r="G9">
        <v>6</v>
      </c>
      <c r="H9" s="10">
        <f>H1</f>
        <v>5.6215980089973865</v>
      </c>
      <c r="I9" s="10">
        <f>I1</f>
        <v>9.1045373808444356</v>
      </c>
      <c r="J9">
        <f t="shared" si="0"/>
        <v>2.39002250840532E-6</v>
      </c>
      <c r="K9">
        <f t="shared" si="0"/>
        <v>7.8607252894940737E-10</v>
      </c>
      <c r="L9">
        <f t="shared" si="1"/>
        <v>9.9999999999999995E-7</v>
      </c>
      <c r="M9" s="10">
        <v>7.5257628875904024</v>
      </c>
      <c r="N9" s="10">
        <f t="shared" si="12"/>
        <v>0.12198098899896714</v>
      </c>
      <c r="O9" s="10">
        <f t="shared" si="2"/>
        <v>0.87801901100103286</v>
      </c>
      <c r="P9" s="9">
        <f t="shared" si="8"/>
        <v>0.64720533780413436</v>
      </c>
      <c r="Q9" s="9">
        <f t="shared" si="9"/>
        <v>5.1901010878585901E-3</v>
      </c>
      <c r="R9" s="9">
        <f t="shared" si="10"/>
        <v>0.65239543889199292</v>
      </c>
      <c r="S9" s="9"/>
      <c r="V9">
        <v>6</v>
      </c>
      <c r="W9" s="10">
        <f>W1</f>
        <v>5.1855209722079012</v>
      </c>
      <c r="X9" s="10">
        <f>X1</f>
        <v>9.3948462821799392</v>
      </c>
      <c r="Y9">
        <f t="shared" si="3"/>
        <v>6.5234753818363517E-6</v>
      </c>
      <c r="Z9">
        <f t="shared" si="4"/>
        <v>4.0285960058876319E-10</v>
      </c>
      <c r="AA9">
        <f t="shared" si="5"/>
        <v>9.9999999999999995E-7</v>
      </c>
      <c r="AB9" s="10">
        <v>14.660528227879992</v>
      </c>
      <c r="AC9" s="10">
        <f t="shared" si="11"/>
        <v>1.9985637314404579E-2</v>
      </c>
      <c r="AD9" s="10">
        <f t="shared" si="6"/>
        <v>0.98001436268559539</v>
      </c>
      <c r="AE9" s="9">
        <f t="shared" si="7"/>
        <v>0.25984099827055712</v>
      </c>
      <c r="AF9" s="9"/>
    </row>
    <row r="10" spans="1:33" x14ac:dyDescent="0.3">
      <c r="A10" t="s">
        <v>79</v>
      </c>
      <c r="B10">
        <v>5</v>
      </c>
      <c r="C10">
        <v>0.2448434160381292</v>
      </c>
      <c r="D10">
        <v>6.458160604612434E-2</v>
      </c>
      <c r="G10">
        <v>6.5</v>
      </c>
      <c r="H10" s="10">
        <f>H1</f>
        <v>5.6215980089973865</v>
      </c>
      <c r="I10" s="10">
        <f>I1</f>
        <v>9.1045373808444356</v>
      </c>
      <c r="J10">
        <f t="shared" si="0"/>
        <v>2.39002250840532E-6</v>
      </c>
      <c r="K10">
        <f t="shared" si="0"/>
        <v>7.8607252894940737E-10</v>
      </c>
      <c r="L10">
        <f t="shared" si="1"/>
        <v>3.1622776601683734E-7</v>
      </c>
      <c r="M10" s="10">
        <v>7.5257628875904024</v>
      </c>
      <c r="N10" s="10">
        <f t="shared" si="12"/>
        <v>0.12198098899896714</v>
      </c>
      <c r="O10" s="10">
        <f t="shared" si="2"/>
        <v>0.87801901100103286</v>
      </c>
      <c r="P10" s="9">
        <f t="shared" si="8"/>
        <v>0.81073087860824655</v>
      </c>
      <c r="Q10" s="9">
        <f t="shared" si="9"/>
        <v>1.6384713385299184E-2</v>
      </c>
      <c r="R10" s="9">
        <f t="shared" si="10"/>
        <v>0.82711559199354578</v>
      </c>
      <c r="S10" s="9"/>
      <c r="U10" s="8"/>
      <c r="V10">
        <v>6.5</v>
      </c>
      <c r="W10" s="10">
        <f>W1</f>
        <v>5.1855209722079012</v>
      </c>
      <c r="X10" s="10">
        <f>X1</f>
        <v>9.3948462821799392</v>
      </c>
      <c r="Y10">
        <f t="shared" si="3"/>
        <v>6.5234753818363517E-6</v>
      </c>
      <c r="Z10">
        <f t="shared" si="4"/>
        <v>4.0285960058876319E-10</v>
      </c>
      <c r="AA10">
        <f t="shared" si="5"/>
        <v>3.1622776601683734E-7</v>
      </c>
      <c r="AB10" s="10">
        <v>14.660528227879992</v>
      </c>
      <c r="AC10" s="10">
        <f t="shared" si="11"/>
        <v>1.9985637314404579E-2</v>
      </c>
      <c r="AD10" s="10">
        <f t="shared" si="6"/>
        <v>0.98001436268559539</v>
      </c>
      <c r="AE10" s="9">
        <f t="shared" si="7"/>
        <v>0.29773367873301693</v>
      </c>
      <c r="AF10" s="9"/>
    </row>
    <row r="11" spans="1:33" x14ac:dyDescent="0.3">
      <c r="B11">
        <v>7</v>
      </c>
      <c r="C11">
        <v>0.29324816047560953</v>
      </c>
      <c r="D11">
        <v>6.7557785550525967E-2</v>
      </c>
      <c r="G11">
        <v>7</v>
      </c>
      <c r="H11" s="10">
        <f>H1</f>
        <v>5.6215980089973865</v>
      </c>
      <c r="I11" s="10">
        <f>I1</f>
        <v>9.1045373808444356</v>
      </c>
      <c r="J11">
        <f t="shared" si="0"/>
        <v>2.39002250840532E-6</v>
      </c>
      <c r="K11">
        <f t="shared" si="0"/>
        <v>7.8607252894940737E-10</v>
      </c>
      <c r="L11">
        <f t="shared" si="1"/>
        <v>9.9999999999999995E-8</v>
      </c>
      <c r="M11" s="10">
        <v>7.5257628875904024</v>
      </c>
      <c r="N11" s="10">
        <f t="shared" si="12"/>
        <v>0.12198098899896714</v>
      </c>
      <c r="O11" s="10">
        <f t="shared" si="2"/>
        <v>0.87801901100103286</v>
      </c>
      <c r="P11" s="9">
        <f t="shared" si="8"/>
        <v>0.88113286338170849</v>
      </c>
      <c r="Q11" s="9">
        <f t="shared" si="9"/>
        <v>5.1536693051058916E-2</v>
      </c>
      <c r="R11" s="9">
        <f t="shared" si="10"/>
        <v>0.93266955643276739</v>
      </c>
      <c r="S11" s="9">
        <v>0.91781034841164311</v>
      </c>
      <c r="T11" s="8">
        <f>(R11-S11)^2</f>
        <v>2.2079606301504418E-4</v>
      </c>
      <c r="V11">
        <v>7</v>
      </c>
      <c r="W11" s="10">
        <f>W1</f>
        <v>5.1855209722079012</v>
      </c>
      <c r="X11" s="10">
        <f>X1</f>
        <v>9.3948462821799392</v>
      </c>
      <c r="Y11">
        <f t="shared" si="3"/>
        <v>6.5234753818363517E-6</v>
      </c>
      <c r="Z11">
        <f t="shared" si="4"/>
        <v>4.0285960058876319E-10</v>
      </c>
      <c r="AA11">
        <f t="shared" si="5"/>
        <v>9.9999999999999995E-8</v>
      </c>
      <c r="AB11" s="10">
        <v>14.660528227879992</v>
      </c>
      <c r="AC11" s="10">
        <f t="shared" si="11"/>
        <v>1.9985637314404579E-2</v>
      </c>
      <c r="AD11" s="10">
        <f t="shared" si="6"/>
        <v>0.98001436268559539</v>
      </c>
      <c r="AE11" s="9">
        <f>AB11*((AC11*(Y11/(AA11+Y11)))+(AD11*Z11/(Z11+AA11)))</f>
        <v>0.3462250638855971</v>
      </c>
      <c r="AF11" s="9">
        <v>0.29324816047560953</v>
      </c>
      <c r="AG11" s="8">
        <f>(AE11-AF11)^2</f>
        <v>2.8065522949111518E-3</v>
      </c>
    </row>
    <row r="12" spans="1:33" x14ac:dyDescent="0.3">
      <c r="B12">
        <v>9</v>
      </c>
      <c r="C12">
        <v>4.5185593957900423</v>
      </c>
      <c r="D12">
        <v>0.6685202905580343</v>
      </c>
      <c r="G12">
        <v>7.5</v>
      </c>
      <c r="H12" s="10">
        <f>H1</f>
        <v>5.6215980089973865</v>
      </c>
      <c r="I12" s="10">
        <f>I1</f>
        <v>9.1045373808444356</v>
      </c>
      <c r="J12">
        <f t="shared" si="0"/>
        <v>2.39002250840532E-6</v>
      </c>
      <c r="K12">
        <f t="shared" si="0"/>
        <v>7.8607252894940737E-10</v>
      </c>
      <c r="L12">
        <f t="shared" si="1"/>
        <v>3.1622776601683699E-8</v>
      </c>
      <c r="M12" s="10">
        <v>7.5257628875904024</v>
      </c>
      <c r="N12" s="10">
        <f t="shared" si="12"/>
        <v>0.12198098899896714</v>
      </c>
      <c r="O12" s="10">
        <f t="shared" si="2"/>
        <v>0.87801901100103286</v>
      </c>
      <c r="P12" s="9">
        <f t="shared" si="8"/>
        <v>0.90601240251820714</v>
      </c>
      <c r="Q12" s="9">
        <f t="shared" si="9"/>
        <v>0.16027045153037059</v>
      </c>
      <c r="R12" s="9">
        <f t="shared" si="10"/>
        <v>1.0662828540485778</v>
      </c>
      <c r="S12" s="9"/>
      <c r="V12">
        <v>7.5</v>
      </c>
      <c r="W12" s="10">
        <f>W1</f>
        <v>5.1855209722079012</v>
      </c>
      <c r="X12" s="10">
        <f>X1</f>
        <v>9.3948462821799392</v>
      </c>
      <c r="Y12">
        <f t="shared" si="3"/>
        <v>6.5234753818363517E-6</v>
      </c>
      <c r="Z12">
        <f t="shared" si="4"/>
        <v>4.0285960058876319E-10</v>
      </c>
      <c r="AA12">
        <f t="shared" si="5"/>
        <v>3.1622776601683699E-8</v>
      </c>
      <c r="AB12" s="10">
        <v>14.660528227879992</v>
      </c>
      <c r="AC12" s="10">
        <f t="shared" si="11"/>
        <v>1.9985637314404579E-2</v>
      </c>
      <c r="AD12" s="10">
        <f t="shared" si="6"/>
        <v>0.98001436268559539</v>
      </c>
      <c r="AE12" s="9">
        <f t="shared" si="7"/>
        <v>0.47231975436058277</v>
      </c>
      <c r="AF12" s="9"/>
    </row>
    <row r="13" spans="1:33" x14ac:dyDescent="0.3">
      <c r="B13">
        <v>10</v>
      </c>
      <c r="C13">
        <v>11.233660301296426</v>
      </c>
      <c r="D13">
        <v>0.32921723274424625</v>
      </c>
      <c r="G13">
        <v>8</v>
      </c>
      <c r="H13" s="10">
        <f>H1</f>
        <v>5.6215980089973865</v>
      </c>
      <c r="I13" s="10">
        <f>I1</f>
        <v>9.1045373808444356</v>
      </c>
      <c r="J13">
        <f t="shared" si="0"/>
        <v>2.39002250840532E-6</v>
      </c>
      <c r="K13">
        <f t="shared" si="0"/>
        <v>7.8607252894940737E-10</v>
      </c>
      <c r="L13">
        <f t="shared" si="1"/>
        <v>1E-8</v>
      </c>
      <c r="M13" s="10">
        <v>7.5257628875904024</v>
      </c>
      <c r="N13" s="10">
        <f t="shared" si="12"/>
        <v>0.12198098899896714</v>
      </c>
      <c r="O13" s="10">
        <f t="shared" si="2"/>
        <v>0.87801901100103286</v>
      </c>
      <c r="P13" s="9">
        <f t="shared" si="8"/>
        <v>0.91417503587243465</v>
      </c>
      <c r="Q13" s="9">
        <f t="shared" si="9"/>
        <v>0.481563689638211</v>
      </c>
      <c r="R13" s="9">
        <f t="shared" si="10"/>
        <v>1.3957387255106455</v>
      </c>
      <c r="S13" s="9"/>
      <c r="V13">
        <v>8</v>
      </c>
      <c r="W13" s="10">
        <f>W1</f>
        <v>5.1855209722079012</v>
      </c>
      <c r="X13" s="10">
        <f>X1</f>
        <v>9.3948462821799392</v>
      </c>
      <c r="Y13">
        <f t="shared" si="3"/>
        <v>6.5234753818363517E-6</v>
      </c>
      <c r="Z13">
        <f t="shared" si="4"/>
        <v>4.0285960058876319E-10</v>
      </c>
      <c r="AA13">
        <f t="shared" si="5"/>
        <v>1E-8</v>
      </c>
      <c r="AB13" s="10">
        <v>14.660528227879992</v>
      </c>
      <c r="AC13" s="10">
        <f t="shared" si="11"/>
        <v>1.9985637314404579E-2</v>
      </c>
      <c r="AD13" s="10">
        <f t="shared" si="6"/>
        <v>0.98001436268559539</v>
      </c>
      <c r="AE13" s="9">
        <f t="shared" si="7"/>
        <v>0.84894631118167796</v>
      </c>
      <c r="AF13" s="9"/>
    </row>
    <row r="14" spans="1:33" x14ac:dyDescent="0.3">
      <c r="A14" t="s">
        <v>111</v>
      </c>
      <c r="B14">
        <v>10.5</v>
      </c>
      <c r="C14">
        <v>14.660528227879992</v>
      </c>
      <c r="D14">
        <v>0.80109836165995729</v>
      </c>
      <c r="G14">
        <v>8.5</v>
      </c>
      <c r="H14" s="10">
        <f>H1</f>
        <v>5.6215980089973865</v>
      </c>
      <c r="I14" s="10">
        <f>I1</f>
        <v>9.1045373808444356</v>
      </c>
      <c r="J14">
        <f t="shared" si="0"/>
        <v>2.39002250840532E-6</v>
      </c>
      <c r="K14">
        <f t="shared" si="0"/>
        <v>7.8607252894940737E-10</v>
      </c>
      <c r="L14">
        <f t="shared" si="1"/>
        <v>3.1622776601683779E-9</v>
      </c>
      <c r="M14" s="10">
        <v>7.5257628875904024</v>
      </c>
      <c r="N14" s="10">
        <f t="shared" si="12"/>
        <v>0.12198098899896714</v>
      </c>
      <c r="O14" s="10">
        <f t="shared" si="2"/>
        <v>0.87801901100103286</v>
      </c>
      <c r="P14" s="9">
        <f t="shared" si="8"/>
        <v>0.9167869842274875</v>
      </c>
      <c r="Q14" s="9">
        <f t="shared" si="9"/>
        <v>1.3155319652400963</v>
      </c>
      <c r="R14" s="9">
        <f t="shared" si="10"/>
        <v>2.2323189494675839</v>
      </c>
      <c r="S14" s="9"/>
      <c r="U14" s="8"/>
      <c r="V14">
        <v>8.5</v>
      </c>
      <c r="W14" s="10">
        <f>W1</f>
        <v>5.1855209722079012</v>
      </c>
      <c r="X14" s="10">
        <f>X1</f>
        <v>9.3948462821799392</v>
      </c>
      <c r="Y14">
        <f t="shared" si="3"/>
        <v>6.5234753818363517E-6</v>
      </c>
      <c r="Z14">
        <f t="shared" si="4"/>
        <v>4.0285960058876319E-10</v>
      </c>
      <c r="AA14">
        <f t="shared" si="5"/>
        <v>3.1622776601683779E-9</v>
      </c>
      <c r="AB14" s="10">
        <v>14.660528227879992</v>
      </c>
      <c r="AC14" s="10">
        <f t="shared" si="11"/>
        <v>1.9985637314404579E-2</v>
      </c>
      <c r="AD14" s="10">
        <f t="shared" si="6"/>
        <v>0.98001436268559539</v>
      </c>
      <c r="AE14" s="9">
        <f t="shared" si="7"/>
        <v>1.9163850589764564</v>
      </c>
      <c r="AF14" s="9"/>
    </row>
    <row r="15" spans="1:33" x14ac:dyDescent="0.3">
      <c r="B15" s="15" t="s">
        <v>77</v>
      </c>
      <c r="C15" s="15"/>
      <c r="D15" s="15"/>
      <c r="E15" s="13" t="s">
        <v>80</v>
      </c>
      <c r="G15">
        <v>9</v>
      </c>
      <c r="H15" s="10">
        <f>H1</f>
        <v>5.6215980089973865</v>
      </c>
      <c r="I15" s="10">
        <f>I1</f>
        <v>9.1045373808444356</v>
      </c>
      <c r="J15">
        <f t="shared" si="0"/>
        <v>2.39002250840532E-6</v>
      </c>
      <c r="K15">
        <f t="shared" si="0"/>
        <v>7.8607252894940737E-10</v>
      </c>
      <c r="L15">
        <f t="shared" si="1"/>
        <v>1.0000000000000001E-9</v>
      </c>
      <c r="M15" s="10">
        <v>7.5257628875904024</v>
      </c>
      <c r="N15" s="10">
        <f t="shared" si="12"/>
        <v>0.12198098899896714</v>
      </c>
      <c r="O15" s="10">
        <f t="shared" si="2"/>
        <v>0.87801901100103286</v>
      </c>
      <c r="P15" s="9">
        <f t="shared" si="8"/>
        <v>0.91761606384014671</v>
      </c>
      <c r="Q15" s="9">
        <f t="shared" si="9"/>
        <v>2.9081578712828167</v>
      </c>
      <c r="R15" s="9">
        <f t="shared" si="10"/>
        <v>3.8257739351229638</v>
      </c>
      <c r="S15" s="9">
        <v>2.76564971858808</v>
      </c>
      <c r="T15" s="8">
        <f>(R15-S15)^2</f>
        <v>1.1238633544837013</v>
      </c>
      <c r="V15">
        <v>9</v>
      </c>
      <c r="W15" s="10">
        <f>W1</f>
        <v>5.1855209722079012</v>
      </c>
      <c r="X15" s="10">
        <f>X1</f>
        <v>9.3948462821799392</v>
      </c>
      <c r="Y15">
        <f t="shared" si="3"/>
        <v>6.5234753818363517E-6</v>
      </c>
      <c r="Z15">
        <f t="shared" si="4"/>
        <v>4.0285960058876319E-10</v>
      </c>
      <c r="AA15">
        <f t="shared" si="5"/>
        <v>1.0000000000000001E-9</v>
      </c>
      <c r="AB15" s="10">
        <v>14.660528227879992</v>
      </c>
      <c r="AC15" s="10">
        <f t="shared" si="11"/>
        <v>1.9985637314404579E-2</v>
      </c>
      <c r="AD15" s="10">
        <f t="shared" si="6"/>
        <v>0.98001436268559539</v>
      </c>
      <c r="AE15" s="9">
        <f t="shared" si="7"/>
        <v>4.4188823630879499</v>
      </c>
      <c r="AF15" s="9">
        <v>4.5185593957900423</v>
      </c>
      <c r="AG15" s="8">
        <f>(AE15-AF15)^2</f>
        <v>9.9355108482939939E-3</v>
      </c>
    </row>
    <row r="16" spans="1:33" x14ac:dyDescent="0.3">
      <c r="B16">
        <v>3.5</v>
      </c>
      <c r="C16">
        <v>0.28572897687367083</v>
      </c>
      <c r="D16">
        <v>6.436608770297679E-2</v>
      </c>
      <c r="E16">
        <f>C21-C17</f>
        <v>23.656291509649414</v>
      </c>
      <c r="F16">
        <f>MAX(D21,D16)</f>
        <v>1.9718296441072742</v>
      </c>
      <c r="G16">
        <v>9.5</v>
      </c>
      <c r="H16" s="10">
        <f>H1</f>
        <v>5.6215980089973865</v>
      </c>
      <c r="I16" s="10">
        <f>I1</f>
        <v>9.1045373808444356</v>
      </c>
      <c r="J16">
        <f t="shared" si="0"/>
        <v>2.39002250840532E-6</v>
      </c>
      <c r="K16">
        <f t="shared" si="0"/>
        <v>7.8607252894940737E-10</v>
      </c>
      <c r="L16">
        <f t="shared" si="1"/>
        <v>3.1622776601683744E-10</v>
      </c>
      <c r="M16" s="10">
        <v>7.5257628875904024</v>
      </c>
      <c r="N16" s="10">
        <f t="shared" si="12"/>
        <v>0.12198098899896714</v>
      </c>
      <c r="O16" s="10">
        <f t="shared" si="2"/>
        <v>0.87801901100103286</v>
      </c>
      <c r="P16" s="9">
        <f t="shared" si="8"/>
        <v>0.91787855399537721</v>
      </c>
      <c r="Q16" s="9">
        <f t="shared" si="9"/>
        <v>4.7121287252356989</v>
      </c>
      <c r="R16" s="9">
        <f t="shared" si="10"/>
        <v>5.6300072792310765</v>
      </c>
      <c r="S16" s="9"/>
      <c r="U16" s="8"/>
      <c r="V16">
        <v>9.5</v>
      </c>
      <c r="W16" s="10">
        <f>W1</f>
        <v>5.1855209722079012</v>
      </c>
      <c r="X16" s="10">
        <f>X1</f>
        <v>9.3948462821799392</v>
      </c>
      <c r="Y16">
        <f t="shared" si="3"/>
        <v>6.5234753818363517E-6</v>
      </c>
      <c r="Z16">
        <f t="shared" si="4"/>
        <v>4.0285960058876319E-10</v>
      </c>
      <c r="AA16">
        <f t="shared" si="5"/>
        <v>3.1622776601683744E-10</v>
      </c>
      <c r="AB16" s="10">
        <v>14.660528227879992</v>
      </c>
      <c r="AC16" s="10">
        <f t="shared" si="11"/>
        <v>1.9985637314404579E-2</v>
      </c>
      <c r="AD16" s="10">
        <f t="shared" si="6"/>
        <v>0.98001436268559539</v>
      </c>
      <c r="AE16" s="9">
        <f t="shared" si="7"/>
        <v>8.3422117359131711</v>
      </c>
      <c r="AF16" s="9"/>
    </row>
    <row r="17" spans="1:33" x14ac:dyDescent="0.3">
      <c r="A17" t="s">
        <v>79</v>
      </c>
      <c r="B17">
        <v>5</v>
      </c>
      <c r="C17">
        <v>0.5019055054294087</v>
      </c>
      <c r="D17">
        <v>0.1021436305607927</v>
      </c>
      <c r="G17">
        <v>10</v>
      </c>
      <c r="H17" s="10">
        <f>H1</f>
        <v>5.6215980089973865</v>
      </c>
      <c r="I17" s="10">
        <f>I1</f>
        <v>9.1045373808444356</v>
      </c>
      <c r="J17">
        <f t="shared" si="0"/>
        <v>2.39002250840532E-6</v>
      </c>
      <c r="K17">
        <f t="shared" si="0"/>
        <v>7.8607252894940737E-10</v>
      </c>
      <c r="L17">
        <f t="shared" si="1"/>
        <v>1E-10</v>
      </c>
      <c r="M17" s="10">
        <v>7.5257628875904024</v>
      </c>
      <c r="N17" s="10">
        <f t="shared" si="12"/>
        <v>0.12198098899896714</v>
      </c>
      <c r="O17" s="10">
        <f t="shared" si="2"/>
        <v>0.87801901100103286</v>
      </c>
      <c r="P17" s="9">
        <f t="shared" si="8"/>
        <v>0.91796159192690885</v>
      </c>
      <c r="Q17" s="9">
        <f t="shared" si="9"/>
        <v>5.8620267687396064</v>
      </c>
      <c r="R17" s="9">
        <f t="shared" si="10"/>
        <v>6.7799883606665148</v>
      </c>
      <c r="S17" s="9">
        <v>8.9356098129539099</v>
      </c>
      <c r="T17" s="8">
        <f>(R17-S17)^2</f>
        <v>4.6467038455616185</v>
      </c>
      <c r="U17" s="8"/>
      <c r="V17">
        <v>10</v>
      </c>
      <c r="W17" s="10">
        <f>W1</f>
        <v>5.1855209722079012</v>
      </c>
      <c r="X17" s="10">
        <f>X1</f>
        <v>9.3948462821799392</v>
      </c>
      <c r="Y17">
        <f t="shared" si="3"/>
        <v>6.5234753818363517E-6</v>
      </c>
      <c r="Z17">
        <f t="shared" si="4"/>
        <v>4.0285960058876319E-10</v>
      </c>
      <c r="AA17">
        <f t="shared" si="5"/>
        <v>1E-10</v>
      </c>
      <c r="AB17" s="10">
        <v>14.660528227879992</v>
      </c>
      <c r="AC17" s="10">
        <f t="shared" si="11"/>
        <v>1.9985637314404579E-2</v>
      </c>
      <c r="AD17" s="10">
        <f t="shared" si="6"/>
        <v>0.98001436268559539</v>
      </c>
      <c r="AE17" s="9">
        <f t="shared" si="7"/>
        <v>11.803358792016668</v>
      </c>
      <c r="AF17" s="9">
        <v>11.233660301296426</v>
      </c>
      <c r="AG17" s="8">
        <f>(AE17-AF17)^2</f>
        <v>0.32455637032892171</v>
      </c>
    </row>
    <row r="18" spans="1:33" x14ac:dyDescent="0.3">
      <c r="B18">
        <v>7</v>
      </c>
      <c r="C18">
        <v>0.78481478845235253</v>
      </c>
      <c r="D18">
        <v>0.24124483694145538</v>
      </c>
      <c r="G18">
        <v>10.5</v>
      </c>
      <c r="H18" s="10">
        <f>H1</f>
        <v>5.6215980089973865</v>
      </c>
      <c r="I18" s="10">
        <f>I1</f>
        <v>9.1045373808444356</v>
      </c>
      <c r="J18">
        <f t="shared" si="0"/>
        <v>2.39002250840532E-6</v>
      </c>
      <c r="K18">
        <f t="shared" si="0"/>
        <v>7.8607252894940737E-10</v>
      </c>
      <c r="L18">
        <f t="shared" si="1"/>
        <v>3.162277660168371E-11</v>
      </c>
      <c r="M18" s="10">
        <v>7.5257628875904024</v>
      </c>
      <c r="N18" s="10">
        <f t="shared" si="12"/>
        <v>0.12198098899896714</v>
      </c>
      <c r="O18" s="10">
        <f t="shared" si="2"/>
        <v>0.87801901100103286</v>
      </c>
      <c r="P18" s="9">
        <f t="shared" si="8"/>
        <v>0.91798785395337212</v>
      </c>
      <c r="Q18" s="9">
        <f t="shared" si="9"/>
        <v>6.352220501309561</v>
      </c>
      <c r="R18" s="9">
        <f t="shared" si="10"/>
        <v>7.2702083552629331</v>
      </c>
      <c r="S18" s="9">
        <v>8.494797674290254</v>
      </c>
      <c r="T18" s="8">
        <f>(R18-S18)^2</f>
        <v>1.4996190002757976</v>
      </c>
      <c r="V18">
        <v>10.5</v>
      </c>
      <c r="W18" s="10">
        <f>W1</f>
        <v>5.1855209722079012</v>
      </c>
      <c r="X18" s="10">
        <f>X1</f>
        <v>9.3948462821799392</v>
      </c>
      <c r="Y18">
        <f t="shared" si="3"/>
        <v>6.5234753818363517E-6</v>
      </c>
      <c r="Z18">
        <f t="shared" si="4"/>
        <v>4.0285960058876319E-10</v>
      </c>
      <c r="AA18">
        <f t="shared" si="5"/>
        <v>3.162277660168371E-11</v>
      </c>
      <c r="AB18" s="10">
        <v>14.660528227879992</v>
      </c>
      <c r="AC18" s="10">
        <f t="shared" si="11"/>
        <v>1.9985637314404579E-2</v>
      </c>
      <c r="AD18" s="10">
        <f t="shared" si="6"/>
        <v>0.98001436268559539</v>
      </c>
      <c r="AE18" s="9">
        <f t="shared" si="7"/>
        <v>13.614820101555006</v>
      </c>
      <c r="AF18" s="9">
        <v>14.660528227879992</v>
      </c>
      <c r="AG18" s="8">
        <f>(AE18-AF18)^2</f>
        <v>1.0935054854621118</v>
      </c>
    </row>
    <row r="19" spans="1:33" x14ac:dyDescent="0.3">
      <c r="B19">
        <v>9</v>
      </c>
      <c r="C19">
        <v>7.2865588592537298</v>
      </c>
      <c r="D19">
        <v>0.93066666907176399</v>
      </c>
      <c r="G19">
        <v>11</v>
      </c>
      <c r="H19" s="10">
        <f>H1</f>
        <v>5.6215980089973865</v>
      </c>
      <c r="I19" s="10">
        <f>I1</f>
        <v>9.1045373808444356</v>
      </c>
      <c r="J19">
        <f t="shared" si="0"/>
        <v>2.39002250840532E-6</v>
      </c>
      <c r="K19">
        <f t="shared" si="0"/>
        <v>7.8607252894940737E-10</v>
      </c>
      <c r="L19">
        <f t="shared" si="1"/>
        <v>9.9999999999999994E-12</v>
      </c>
      <c r="M19" s="10">
        <v>7.5257628875904024</v>
      </c>
      <c r="N19" s="10">
        <f t="shared" si="12"/>
        <v>0.12198098899896714</v>
      </c>
      <c r="O19" s="10">
        <f t="shared" si="2"/>
        <v>0.87801901100103286</v>
      </c>
      <c r="P19" s="9">
        <f t="shared" si="8"/>
        <v>0.91799615904805998</v>
      </c>
      <c r="Q19" s="9">
        <f t="shared" si="9"/>
        <v>6.5247583541176697</v>
      </c>
      <c r="R19" s="9">
        <f t="shared" si="10"/>
        <v>7.4427545131657293</v>
      </c>
      <c r="U19" s="8"/>
      <c r="V19">
        <v>11</v>
      </c>
      <c r="W19" s="10">
        <f>W1</f>
        <v>5.1855209722079012</v>
      </c>
      <c r="X19" s="10">
        <f>X1</f>
        <v>9.3948462821799392</v>
      </c>
      <c r="Y19">
        <f t="shared" si="3"/>
        <v>6.5234753818363517E-6</v>
      </c>
      <c r="Z19">
        <f t="shared" si="4"/>
        <v>4.0285960058876319E-10</v>
      </c>
      <c r="AA19">
        <f t="shared" si="5"/>
        <v>9.9999999999999994E-12</v>
      </c>
      <c r="AB19" s="10">
        <v>14.660528227879992</v>
      </c>
      <c r="AC19" s="10">
        <f t="shared" si="11"/>
        <v>1.9985637314404579E-2</v>
      </c>
      <c r="AD19" s="10">
        <f t="shared" si="6"/>
        <v>0.98001436268559539</v>
      </c>
      <c r="AE19" s="9">
        <f t="shared" si="7"/>
        <v>14.312527436549683</v>
      </c>
      <c r="AF19" s="9"/>
    </row>
    <row r="20" spans="1:33" x14ac:dyDescent="0.3">
      <c r="B20">
        <v>10</v>
      </c>
      <c r="C20">
        <v>15.914352093503275</v>
      </c>
      <c r="D20">
        <v>1.040700994246224</v>
      </c>
      <c r="G20">
        <v>11.5</v>
      </c>
      <c r="H20" s="10">
        <f>H1</f>
        <v>5.6215980089973865</v>
      </c>
      <c r="I20" s="10">
        <f>I1</f>
        <v>9.1045373808444356</v>
      </c>
      <c r="J20">
        <f t="shared" si="0"/>
        <v>2.39002250840532E-6</v>
      </c>
      <c r="K20">
        <f t="shared" si="0"/>
        <v>7.8607252894940737E-10</v>
      </c>
      <c r="L20">
        <f t="shared" si="1"/>
        <v>3.1622776601683669E-12</v>
      </c>
      <c r="M20" s="10">
        <v>7.5257628875904024</v>
      </c>
      <c r="N20" s="10">
        <f t="shared" si="12"/>
        <v>0.12198098899896714</v>
      </c>
      <c r="O20" s="10">
        <f t="shared" si="2"/>
        <v>0.87801901100103286</v>
      </c>
      <c r="P20" s="9">
        <f t="shared" si="8"/>
        <v>0.91799878538087376</v>
      </c>
      <c r="Q20" s="9">
        <f t="shared" si="9"/>
        <v>6.5812871407174525</v>
      </c>
      <c r="R20" s="9">
        <f t="shared" si="10"/>
        <v>7.4992859260983256</v>
      </c>
      <c r="T20" s="8"/>
      <c r="V20">
        <v>11.5</v>
      </c>
      <c r="W20" s="10">
        <f>W1</f>
        <v>5.1855209722079012</v>
      </c>
      <c r="X20" s="10">
        <f>X1</f>
        <v>9.3948462821799392</v>
      </c>
      <c r="Y20">
        <f t="shared" si="3"/>
        <v>6.5234753818363517E-6</v>
      </c>
      <c r="Z20">
        <f t="shared" si="4"/>
        <v>4.0285960058876319E-10</v>
      </c>
      <c r="AA20">
        <f t="shared" si="5"/>
        <v>3.1622776601683669E-12</v>
      </c>
      <c r="AB20" s="10">
        <v>14.660528227879992</v>
      </c>
      <c r="AC20" s="10">
        <f t="shared" si="11"/>
        <v>1.9985637314404579E-2</v>
      </c>
      <c r="AD20" s="10">
        <f t="shared" si="6"/>
        <v>0.98001436268559539</v>
      </c>
      <c r="AE20" s="9">
        <f t="shared" si="7"/>
        <v>14.548627432259819</v>
      </c>
      <c r="AF20" s="9"/>
      <c r="AG20" s="8"/>
    </row>
    <row r="21" spans="1:33" x14ac:dyDescent="0.3">
      <c r="A21" t="s">
        <v>111</v>
      </c>
      <c r="B21">
        <v>10.5</v>
      </c>
      <c r="C21">
        <v>24.158197015078823</v>
      </c>
      <c r="D21">
        <v>1.9718296441072742</v>
      </c>
      <c r="G21">
        <v>12</v>
      </c>
      <c r="H21" s="10">
        <f>H1</f>
        <v>5.6215980089973865</v>
      </c>
      <c r="I21" s="10">
        <f>I1</f>
        <v>9.1045373808444356</v>
      </c>
      <c r="J21">
        <f t="shared" si="0"/>
        <v>2.39002250840532E-6</v>
      </c>
      <c r="K21">
        <f t="shared" si="0"/>
        <v>7.8607252894940737E-10</v>
      </c>
      <c r="L21">
        <f t="shared" si="1"/>
        <v>9.9999999999999998E-13</v>
      </c>
      <c r="M21" s="10">
        <v>7.5257628875904024</v>
      </c>
      <c r="N21" s="10">
        <f t="shared" si="12"/>
        <v>0.12198098899896714</v>
      </c>
      <c r="O21" s="10">
        <f t="shared" si="2"/>
        <v>0.87801901100103286</v>
      </c>
      <c r="P21" s="9">
        <f t="shared" si="8"/>
        <v>0.91799961590335977</v>
      </c>
      <c r="Q21" s="9">
        <f t="shared" si="9"/>
        <v>6.5993675203979913</v>
      </c>
      <c r="R21" s="9">
        <f t="shared" si="10"/>
        <v>7.5173671363013508</v>
      </c>
      <c r="T21" s="11" t="s">
        <v>108</v>
      </c>
      <c r="V21">
        <v>12</v>
      </c>
      <c r="W21" s="10">
        <f>W1</f>
        <v>5.1855209722079012</v>
      </c>
      <c r="X21" s="10">
        <f>X1</f>
        <v>9.3948462821799392</v>
      </c>
      <c r="Y21">
        <f t="shared" si="3"/>
        <v>6.5234753818363517E-6</v>
      </c>
      <c r="Z21">
        <f t="shared" si="4"/>
        <v>4.0285960058876319E-10</v>
      </c>
      <c r="AA21">
        <f t="shared" si="5"/>
        <v>9.9999999999999998E-13</v>
      </c>
      <c r="AB21" s="10">
        <v>14.660528227879992</v>
      </c>
      <c r="AC21" s="10">
        <f t="shared" si="11"/>
        <v>1.9985637314404579E-2</v>
      </c>
      <c r="AD21" s="10">
        <f t="shared" si="6"/>
        <v>0.98001436268559539</v>
      </c>
      <c r="AE21" s="9">
        <f t="shared" si="7"/>
        <v>14.624952630949355</v>
      </c>
      <c r="AF21" s="9"/>
      <c r="AG21" s="11" t="s">
        <v>108</v>
      </c>
    </row>
    <row r="22" spans="1:33" x14ac:dyDescent="0.3">
      <c r="B22" s="15" t="s">
        <v>75</v>
      </c>
      <c r="C22" s="15"/>
      <c r="D22" s="15"/>
      <c r="E22" s="13" t="s">
        <v>80</v>
      </c>
      <c r="T22" s="12">
        <f>SUM(T4:T18)</f>
        <v>7.3186585145054117</v>
      </c>
      <c r="AG22" s="12">
        <f>SUM(AG4:AG18)</f>
        <v>1.4615520700555462</v>
      </c>
    </row>
    <row r="23" spans="1:33" x14ac:dyDescent="0.3">
      <c r="B23">
        <v>3.5</v>
      </c>
      <c r="C23">
        <v>0.4450886743372594</v>
      </c>
      <c r="D23">
        <v>4.1633288694905519E-2</v>
      </c>
      <c r="E23">
        <f>C28-C24</f>
        <v>3.1749752759186198</v>
      </c>
      <c r="F23">
        <f>MAX(D28,D23)</f>
        <v>9.5703582850515834E-2</v>
      </c>
      <c r="G23" s="11" t="s">
        <v>109</v>
      </c>
      <c r="H23" s="10">
        <v>4.4897735989817527</v>
      </c>
      <c r="I23" s="10">
        <v>9.5398675811782763</v>
      </c>
      <c r="T23" s="12"/>
      <c r="V23" s="11" t="s">
        <v>109</v>
      </c>
      <c r="W23" s="10">
        <v>4.6764641489024328</v>
      </c>
      <c r="X23" s="10">
        <v>9.4167166088466949</v>
      </c>
      <c r="AG23" s="12"/>
    </row>
    <row r="24" spans="1:33" x14ac:dyDescent="0.3">
      <c r="A24" t="s">
        <v>79</v>
      </c>
      <c r="B24">
        <v>5</v>
      </c>
      <c r="C24">
        <v>1.2914197836329726</v>
      </c>
      <c r="D24">
        <v>4.1504769676460104E-3</v>
      </c>
      <c r="G24" s="14" t="s">
        <v>77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6"/>
      <c r="V24" s="14" t="s">
        <v>75</v>
      </c>
      <c r="W24" s="14"/>
      <c r="X24" s="14"/>
      <c r="Y24" s="14"/>
      <c r="Z24" s="14"/>
      <c r="AA24" s="14"/>
      <c r="AB24" s="14"/>
      <c r="AC24" s="14"/>
      <c r="AD24" s="14"/>
      <c r="AE24" s="14"/>
    </row>
    <row r="25" spans="1:33" x14ac:dyDescent="0.3">
      <c r="B25">
        <v>7</v>
      </c>
      <c r="C25">
        <v>2.0301795725234508</v>
      </c>
      <c r="D25">
        <v>0.1252200186885451</v>
      </c>
      <c r="G25" t="s">
        <v>65</v>
      </c>
      <c r="H25" t="s">
        <v>79</v>
      </c>
      <c r="I25" t="s">
        <v>80</v>
      </c>
      <c r="J25" t="s">
        <v>81</v>
      </c>
      <c r="K25" t="s">
        <v>82</v>
      </c>
      <c r="L25" t="s">
        <v>83</v>
      </c>
      <c r="M25" t="s">
        <v>84</v>
      </c>
      <c r="N25" t="s">
        <v>85</v>
      </c>
      <c r="O25" t="s">
        <v>86</v>
      </c>
      <c r="R25" t="s">
        <v>87</v>
      </c>
      <c r="S25" t="s">
        <v>106</v>
      </c>
      <c r="T25" t="s">
        <v>107</v>
      </c>
      <c r="V25" t="s">
        <v>65</v>
      </c>
      <c r="W25" t="s">
        <v>79</v>
      </c>
      <c r="X25" t="s">
        <v>80</v>
      </c>
      <c r="Y25" t="s">
        <v>81</v>
      </c>
      <c r="Z25" t="s">
        <v>82</v>
      </c>
      <c r="AA25" t="s">
        <v>83</v>
      </c>
      <c r="AB25" t="s">
        <v>84</v>
      </c>
      <c r="AC25" t="s">
        <v>85</v>
      </c>
      <c r="AD25" t="s">
        <v>86</v>
      </c>
      <c r="AE25" t="s">
        <v>87</v>
      </c>
      <c r="AF25" t="s">
        <v>106</v>
      </c>
      <c r="AG25" t="s">
        <v>107</v>
      </c>
    </row>
    <row r="26" spans="1:33" x14ac:dyDescent="0.3">
      <c r="B26">
        <v>9</v>
      </c>
      <c r="C26">
        <v>1.6053456990139137</v>
      </c>
      <c r="D26">
        <v>9.6285652629400698E-2</v>
      </c>
      <c r="G26">
        <v>3.5</v>
      </c>
      <c r="H26" s="10">
        <f>H23</f>
        <v>4.4897735989817527</v>
      </c>
      <c r="I26" s="10">
        <f>I23</f>
        <v>9.5398675811782763</v>
      </c>
      <c r="J26">
        <f t="shared" ref="J26:J43" si="13">10^-H26</f>
        <v>3.2376239274323211E-5</v>
      </c>
      <c r="K26">
        <f t="shared" ref="K26:K43" si="14">10^-I26</f>
        <v>2.8849109945708258E-10</v>
      </c>
      <c r="L26">
        <f t="shared" ref="L26:L43" si="15">10^-G26</f>
        <v>3.1622776601683783E-4</v>
      </c>
      <c r="M26" s="10">
        <v>24.158197015078823</v>
      </c>
      <c r="N26" s="10">
        <f>0.785/M26</f>
        <v>3.24941467904259E-2</v>
      </c>
      <c r="O26" s="10">
        <f t="shared" ref="O26:O43" si="16">1-N26</f>
        <v>0.96750585320957405</v>
      </c>
      <c r="P26" s="9">
        <f>$M26*(($N26*($J26/($L26+$J26))))</f>
        <v>7.2906069478795341E-2</v>
      </c>
      <c r="Q26" s="9">
        <f>$M26*(($O26*$K26/($K26+$L26)))</f>
        <v>2.132309011988006E-5</v>
      </c>
      <c r="R26" s="9">
        <f t="shared" ref="R26:R43" si="17">M26*((N26*(J26/(L26+J26)))+(O26*K26/(K26+L26)))</f>
        <v>7.2927392568915228E-2</v>
      </c>
      <c r="S26" s="9">
        <v>0.28572897687367083</v>
      </c>
      <c r="T26" s="8">
        <f>(R26-S26)^2</f>
        <v>4.5284514282614007E-2</v>
      </c>
      <c r="V26">
        <v>3.5</v>
      </c>
      <c r="W26" s="10">
        <f>W23</f>
        <v>4.6764641489024328</v>
      </c>
      <c r="X26" s="10">
        <f>X23</f>
        <v>9.4167166088466949</v>
      </c>
      <c r="Y26">
        <f t="shared" ref="Y26:Y43" si="18">10^-W26</f>
        <v>2.1063757735617898E-5</v>
      </c>
      <c r="Z26">
        <f t="shared" ref="Z26:Z43" si="19">10^-X26</f>
        <v>3.8307463032685189E-10</v>
      </c>
      <c r="AA26">
        <f t="shared" ref="AA26:AA43" si="20">10^-V26</f>
        <v>3.1622776601683783E-4</v>
      </c>
      <c r="AB26" s="10">
        <v>4.4663950595515924</v>
      </c>
      <c r="AC26" s="10">
        <f>2.03/AB26</f>
        <v>0.4545052492969136</v>
      </c>
      <c r="AD26" s="10">
        <f t="shared" ref="AD26:AD43" si="21">1-AC26</f>
        <v>0.5454947507030864</v>
      </c>
      <c r="AE26" s="9">
        <f t="shared" ref="AE26:AE43" si="22">AB26*((AC26*(Y26/(AA26+Y26)))+(AD26*Z26/(Z26+AA26)))</f>
        <v>0.12677586206591393</v>
      </c>
      <c r="AF26" s="9">
        <v>0.4450886743372594</v>
      </c>
      <c r="AG26" s="8">
        <f>(AE26-AF26)^2</f>
        <v>0.1013230464560928</v>
      </c>
    </row>
    <row r="27" spans="1:33" x14ac:dyDescent="0.3">
      <c r="B27">
        <v>10</v>
      </c>
      <c r="C27">
        <v>5.2234828584717956</v>
      </c>
      <c r="D27">
        <v>0.42956164153518672</v>
      </c>
      <c r="G27">
        <v>4</v>
      </c>
      <c r="H27" s="10">
        <f>H23</f>
        <v>4.4897735989817527</v>
      </c>
      <c r="I27" s="10">
        <f>I23</f>
        <v>9.5398675811782763</v>
      </c>
      <c r="J27">
        <f t="shared" si="13"/>
        <v>3.2376239274323211E-5</v>
      </c>
      <c r="K27">
        <f t="shared" si="14"/>
        <v>2.8849109945708258E-10</v>
      </c>
      <c r="L27">
        <f t="shared" si="15"/>
        <v>1E-4</v>
      </c>
      <c r="M27" s="10">
        <v>24.158197015078823</v>
      </c>
      <c r="N27" s="10">
        <f t="shared" ref="N27:N43" si="23">0.785/M27</f>
        <v>3.24941467904259E-2</v>
      </c>
      <c r="O27" s="10">
        <f t="shared" si="16"/>
        <v>0.96750585320957405</v>
      </c>
      <c r="P27" s="9">
        <f t="shared" ref="P27:P43" si="24">$M27*(($N27*($J27/($L27+$J27))))</f>
        <v>0.19199327590562165</v>
      </c>
      <c r="Q27" s="9">
        <f t="shared" ref="Q27:Q43" si="25">$M27*(($O27*$K27/($K27+$L27)))</f>
        <v>6.7429398519257749E-5</v>
      </c>
      <c r="R27" s="9">
        <f t="shared" si="17"/>
        <v>0.19206070530414091</v>
      </c>
      <c r="S27" s="9"/>
      <c r="V27">
        <v>4</v>
      </c>
      <c r="W27" s="10">
        <f>W23</f>
        <v>4.6764641489024328</v>
      </c>
      <c r="X27" s="10">
        <f>X23</f>
        <v>9.4167166088466949</v>
      </c>
      <c r="Y27">
        <f t="shared" si="18"/>
        <v>2.1063757735617898E-5</v>
      </c>
      <c r="Z27">
        <f t="shared" si="19"/>
        <v>3.8307463032685189E-10</v>
      </c>
      <c r="AA27">
        <f t="shared" si="20"/>
        <v>1E-4</v>
      </c>
      <c r="AB27" s="10">
        <v>4.4663950595515924</v>
      </c>
      <c r="AC27" s="10">
        <f t="shared" ref="AC27:AC43" si="26">2.03/AB27</f>
        <v>0.4545052492969136</v>
      </c>
      <c r="AD27" s="10">
        <f t="shared" si="21"/>
        <v>0.5454947507030864</v>
      </c>
      <c r="AE27" s="9">
        <f t="shared" si="22"/>
        <v>0.35320692924465003</v>
      </c>
      <c r="AF27" s="9"/>
    </row>
    <row r="28" spans="1:33" x14ac:dyDescent="0.3">
      <c r="A28" t="s">
        <v>111</v>
      </c>
      <c r="B28">
        <v>10.5</v>
      </c>
      <c r="C28">
        <v>4.4663950595515924</v>
      </c>
      <c r="D28">
        <v>9.5703582850515834E-2</v>
      </c>
      <c r="G28">
        <v>4.5</v>
      </c>
      <c r="H28" s="10">
        <f>H23</f>
        <v>4.4897735989817527</v>
      </c>
      <c r="I28" s="10">
        <f>I23</f>
        <v>9.5398675811782763</v>
      </c>
      <c r="J28">
        <f t="shared" si="13"/>
        <v>3.2376239274323211E-5</v>
      </c>
      <c r="K28">
        <f t="shared" si="14"/>
        <v>2.8849109945708258E-10</v>
      </c>
      <c r="L28">
        <f t="shared" si="15"/>
        <v>3.1622776601683748E-5</v>
      </c>
      <c r="M28" s="10">
        <v>24.158197015078823</v>
      </c>
      <c r="N28" s="10">
        <f t="shared" si="23"/>
        <v>3.24941467904259E-2</v>
      </c>
      <c r="O28" s="10">
        <f t="shared" si="16"/>
        <v>0.96750585320957405</v>
      </c>
      <c r="P28" s="9">
        <f t="shared" si="24"/>
        <v>0.39712091635258817</v>
      </c>
      <c r="Q28" s="9">
        <f t="shared" si="25"/>
        <v>2.1322915046100073E-4</v>
      </c>
      <c r="R28" s="9">
        <f t="shared" si="17"/>
        <v>0.39733414550304919</v>
      </c>
      <c r="S28" s="9"/>
      <c r="V28">
        <v>4.5</v>
      </c>
      <c r="W28" s="10">
        <f>W23</f>
        <v>4.6764641489024328</v>
      </c>
      <c r="X28" s="10">
        <f>X23</f>
        <v>9.4167166088466949</v>
      </c>
      <c r="Y28">
        <f t="shared" si="18"/>
        <v>2.1063757735617898E-5</v>
      </c>
      <c r="Z28">
        <f t="shared" si="19"/>
        <v>3.8307463032685189E-10</v>
      </c>
      <c r="AA28">
        <f t="shared" si="20"/>
        <v>3.1622776601683748E-5</v>
      </c>
      <c r="AB28" s="10">
        <v>4.4663950595515924</v>
      </c>
      <c r="AC28" s="10">
        <f t="shared" si="26"/>
        <v>0.4545052492969136</v>
      </c>
      <c r="AD28" s="10">
        <f t="shared" si="21"/>
        <v>0.5454947507030864</v>
      </c>
      <c r="AE28" s="9">
        <f t="shared" si="22"/>
        <v>0.81161123470234842</v>
      </c>
      <c r="AF28" s="9"/>
    </row>
    <row r="29" spans="1:33" x14ac:dyDescent="0.3">
      <c r="G29">
        <v>5</v>
      </c>
      <c r="H29" s="10">
        <f>H23</f>
        <v>4.4897735989817527</v>
      </c>
      <c r="I29" s="10">
        <f>I23</f>
        <v>9.5398675811782763</v>
      </c>
      <c r="J29">
        <f t="shared" si="13"/>
        <v>3.2376239274323211E-5</v>
      </c>
      <c r="K29">
        <f t="shared" si="14"/>
        <v>2.8849109945708258E-10</v>
      </c>
      <c r="L29">
        <f t="shared" si="15"/>
        <v>1.0000000000000001E-5</v>
      </c>
      <c r="M29" s="10">
        <v>24.158197015078823</v>
      </c>
      <c r="N29" s="10">
        <f t="shared" si="23"/>
        <v>3.24941467904259E-2</v>
      </c>
      <c r="O29" s="10">
        <f t="shared" si="16"/>
        <v>0.96750585320957405</v>
      </c>
      <c r="P29" s="9">
        <f t="shared" si="24"/>
        <v>0.59975468011252953</v>
      </c>
      <c r="Q29" s="9">
        <f t="shared" si="25"/>
        <v>6.7427647819445573E-4</v>
      </c>
      <c r="R29" s="9">
        <f t="shared" si="17"/>
        <v>0.60042895659072393</v>
      </c>
      <c r="S29" s="9">
        <v>0.5019055054294087</v>
      </c>
      <c r="T29" s="8">
        <f>(R29-S29)^2</f>
        <v>9.7068704287360651E-3</v>
      </c>
      <c r="V29">
        <v>5</v>
      </c>
      <c r="W29" s="10">
        <f>W23</f>
        <v>4.6764641489024328</v>
      </c>
      <c r="X29" s="10">
        <f>X23</f>
        <v>9.4167166088466949</v>
      </c>
      <c r="Y29">
        <f t="shared" si="18"/>
        <v>2.1063757735617898E-5</v>
      </c>
      <c r="Z29">
        <f t="shared" si="19"/>
        <v>3.8307463032685189E-10</v>
      </c>
      <c r="AA29">
        <f t="shared" si="20"/>
        <v>1.0000000000000001E-5</v>
      </c>
      <c r="AB29" s="10">
        <v>4.4663950595515924</v>
      </c>
      <c r="AC29" s="10">
        <f t="shared" si="26"/>
        <v>0.4545052492969136</v>
      </c>
      <c r="AD29" s="10">
        <f t="shared" si="21"/>
        <v>0.5454947507030864</v>
      </c>
      <c r="AE29" s="9">
        <f t="shared" si="22"/>
        <v>1.3765986620923993</v>
      </c>
      <c r="AF29" s="9">
        <v>1.2914197836329726</v>
      </c>
      <c r="AG29" s="8">
        <f>(AE29-AF29)^2</f>
        <v>7.255441335605791E-3</v>
      </c>
    </row>
    <row r="30" spans="1:33" x14ac:dyDescent="0.3">
      <c r="G30">
        <v>5.5</v>
      </c>
      <c r="H30" s="10">
        <f>H23</f>
        <v>4.4897735989817527</v>
      </c>
      <c r="I30" s="10">
        <f>I23</f>
        <v>9.5398675811782763</v>
      </c>
      <c r="J30">
        <f t="shared" si="13"/>
        <v>3.2376239274323211E-5</v>
      </c>
      <c r="K30">
        <f t="shared" si="14"/>
        <v>2.8849109945708258E-10</v>
      </c>
      <c r="L30">
        <f t="shared" si="15"/>
        <v>3.1622776601683767E-6</v>
      </c>
      <c r="M30" s="10">
        <v>24.158197015078823</v>
      </c>
      <c r="N30" s="10">
        <f t="shared" si="23"/>
        <v>3.24941467904259E-2</v>
      </c>
      <c r="O30" s="10">
        <f t="shared" si="16"/>
        <v>0.96750585320957405</v>
      </c>
      <c r="P30" s="9">
        <f t="shared" si="24"/>
        <v>0.71514936532641538</v>
      </c>
      <c r="Q30" s="9">
        <f t="shared" si="25"/>
        <v>2.132116446640625E-3</v>
      </c>
      <c r="R30" s="9">
        <f t="shared" si="17"/>
        <v>0.71728148177305595</v>
      </c>
      <c r="S30" s="9"/>
      <c r="V30">
        <v>5.5</v>
      </c>
      <c r="W30" s="10">
        <f>W23</f>
        <v>4.6764641489024328</v>
      </c>
      <c r="X30" s="10">
        <f>X23</f>
        <v>9.4167166088466949</v>
      </c>
      <c r="Y30">
        <f t="shared" si="18"/>
        <v>2.1063757735617898E-5</v>
      </c>
      <c r="Z30">
        <f t="shared" si="19"/>
        <v>3.8307463032685189E-10</v>
      </c>
      <c r="AA30">
        <f t="shared" si="20"/>
        <v>3.1622776601683767E-6</v>
      </c>
      <c r="AB30" s="10">
        <v>4.4663950595515924</v>
      </c>
      <c r="AC30" s="10">
        <f t="shared" si="26"/>
        <v>0.4545052492969136</v>
      </c>
      <c r="AD30" s="10">
        <f t="shared" si="21"/>
        <v>0.5454947507030864</v>
      </c>
      <c r="AE30" s="9">
        <f t="shared" si="22"/>
        <v>1.765314743436543</v>
      </c>
      <c r="AF30" s="9"/>
    </row>
    <row r="31" spans="1:33" x14ac:dyDescent="0.3">
      <c r="G31">
        <v>6</v>
      </c>
      <c r="H31" s="10">
        <f>H23</f>
        <v>4.4897735989817527</v>
      </c>
      <c r="I31" s="10">
        <f>I23</f>
        <v>9.5398675811782763</v>
      </c>
      <c r="J31">
        <f t="shared" si="13"/>
        <v>3.2376239274323211E-5</v>
      </c>
      <c r="K31">
        <f t="shared" si="14"/>
        <v>2.8849109945708258E-10</v>
      </c>
      <c r="L31">
        <f t="shared" si="15"/>
        <v>9.9999999999999995E-7</v>
      </c>
      <c r="M31" s="10">
        <v>24.158197015078823</v>
      </c>
      <c r="N31" s="10">
        <f t="shared" si="23"/>
        <v>3.24941467904259E-2</v>
      </c>
      <c r="O31" s="10">
        <f t="shared" si="16"/>
        <v>0.96750585320957405</v>
      </c>
      <c r="P31" s="9">
        <f t="shared" si="24"/>
        <v>0.76148027407917385</v>
      </c>
      <c r="Q31" s="9">
        <f t="shared" si="25"/>
        <v>6.7410145819988736E-3</v>
      </c>
      <c r="R31" s="9">
        <f t="shared" si="17"/>
        <v>0.76822128866117267</v>
      </c>
      <c r="S31" s="9"/>
      <c r="V31">
        <v>6</v>
      </c>
      <c r="W31" s="10">
        <f>W23</f>
        <v>4.6764641489024328</v>
      </c>
      <c r="X31" s="10">
        <f>X23</f>
        <v>9.4167166088466949</v>
      </c>
      <c r="Y31">
        <f t="shared" si="18"/>
        <v>2.1063757735617898E-5</v>
      </c>
      <c r="Z31">
        <f t="shared" si="19"/>
        <v>3.8307463032685189E-10</v>
      </c>
      <c r="AA31">
        <f t="shared" si="20"/>
        <v>9.9999999999999995E-7</v>
      </c>
      <c r="AB31" s="10">
        <v>4.4663950595515924</v>
      </c>
      <c r="AC31" s="10">
        <f t="shared" si="26"/>
        <v>0.4545052492969136</v>
      </c>
      <c r="AD31" s="10">
        <f t="shared" si="21"/>
        <v>0.5454947507030864</v>
      </c>
      <c r="AE31" s="9">
        <f t="shared" si="22"/>
        <v>1.9389268773661359</v>
      </c>
      <c r="AF31" s="9"/>
    </row>
    <row r="32" spans="1:33" x14ac:dyDescent="0.3">
      <c r="G32">
        <v>6.5</v>
      </c>
      <c r="H32" s="10">
        <f>H23</f>
        <v>4.4897735989817527</v>
      </c>
      <c r="I32" s="10">
        <f>I23</f>
        <v>9.5398675811782763</v>
      </c>
      <c r="J32">
        <f t="shared" si="13"/>
        <v>3.2376239274323211E-5</v>
      </c>
      <c r="K32">
        <f t="shared" si="14"/>
        <v>2.8849109945708258E-10</v>
      </c>
      <c r="L32">
        <f t="shared" si="15"/>
        <v>3.1622776601683734E-7</v>
      </c>
      <c r="M32" s="10">
        <v>24.158197015078823</v>
      </c>
      <c r="N32" s="10">
        <f t="shared" si="23"/>
        <v>3.24941467904259E-2</v>
      </c>
      <c r="O32" s="10">
        <f t="shared" si="16"/>
        <v>0.96750585320957405</v>
      </c>
      <c r="P32" s="9">
        <f t="shared" si="24"/>
        <v>0.77740685029927825</v>
      </c>
      <c r="Q32" s="9">
        <f t="shared" si="25"/>
        <v>2.130367446569922E-2</v>
      </c>
      <c r="R32" s="9">
        <f t="shared" si="17"/>
        <v>0.7987105247649775</v>
      </c>
      <c r="S32" s="9"/>
      <c r="V32">
        <v>6.5</v>
      </c>
      <c r="W32" s="10">
        <f>W23</f>
        <v>4.6764641489024328</v>
      </c>
      <c r="X32" s="10">
        <f>X23</f>
        <v>9.4167166088466949</v>
      </c>
      <c r="Y32">
        <f t="shared" si="18"/>
        <v>2.1063757735617898E-5</v>
      </c>
      <c r="Z32">
        <f t="shared" si="19"/>
        <v>3.8307463032685189E-10</v>
      </c>
      <c r="AA32">
        <f t="shared" si="20"/>
        <v>3.1622776601683734E-7</v>
      </c>
      <c r="AB32" s="10">
        <v>4.4663950595515924</v>
      </c>
      <c r="AC32" s="10">
        <f t="shared" si="26"/>
        <v>0.4545052492969136</v>
      </c>
      <c r="AD32" s="10">
        <f t="shared" si="21"/>
        <v>0.5454947507030864</v>
      </c>
      <c r="AE32" s="9">
        <f t="shared" si="22"/>
        <v>2.0029224613610568</v>
      </c>
      <c r="AF32" s="9"/>
    </row>
    <row r="33" spans="7:33" x14ac:dyDescent="0.3">
      <c r="G33">
        <v>7</v>
      </c>
      <c r="H33" s="10">
        <f>H23</f>
        <v>4.4897735989817527</v>
      </c>
      <c r="I33" s="10">
        <f>I23</f>
        <v>9.5398675811782763</v>
      </c>
      <c r="J33">
        <f t="shared" si="13"/>
        <v>3.2376239274323211E-5</v>
      </c>
      <c r="K33">
        <f t="shared" si="14"/>
        <v>2.8849109945708258E-10</v>
      </c>
      <c r="L33">
        <f t="shared" si="15"/>
        <v>9.9999999999999995E-8</v>
      </c>
      <c r="M33" s="10">
        <v>24.158197015078823</v>
      </c>
      <c r="N33" s="10">
        <f t="shared" si="23"/>
        <v>3.24941467904259E-2</v>
      </c>
      <c r="O33" s="10">
        <f t="shared" si="16"/>
        <v>0.96750585320957405</v>
      </c>
      <c r="P33" s="9">
        <f t="shared" si="24"/>
        <v>0.78258284820674839</v>
      </c>
      <c r="Q33" s="9">
        <f t="shared" si="25"/>
        <v>6.7235624255429588E-2</v>
      </c>
      <c r="R33" s="9">
        <f t="shared" si="17"/>
        <v>0.84981847246217801</v>
      </c>
      <c r="S33" s="9">
        <v>0.78481478845235253</v>
      </c>
      <c r="T33" s="8">
        <f>(R33-S33)^2</f>
        <v>4.2254789348492409E-3</v>
      </c>
      <c r="V33">
        <v>7</v>
      </c>
      <c r="W33" s="10">
        <f>W23</f>
        <v>4.6764641489024328</v>
      </c>
      <c r="X33" s="10">
        <f>X23</f>
        <v>9.4167166088466949</v>
      </c>
      <c r="Y33">
        <f t="shared" si="18"/>
        <v>2.1063757735617898E-5</v>
      </c>
      <c r="Z33">
        <f t="shared" si="19"/>
        <v>3.8307463032685189E-10</v>
      </c>
      <c r="AA33">
        <f t="shared" si="20"/>
        <v>9.9999999999999995E-8</v>
      </c>
      <c r="AB33" s="10">
        <v>4.4663950595515924</v>
      </c>
      <c r="AC33" s="10">
        <f t="shared" si="26"/>
        <v>0.4545052492969136</v>
      </c>
      <c r="AD33" s="10">
        <f t="shared" si="21"/>
        <v>0.5454947507030864</v>
      </c>
      <c r="AE33" s="9">
        <f t="shared" si="22"/>
        <v>2.0297057252514552</v>
      </c>
      <c r="AF33" s="9">
        <v>2.0301795725234508</v>
      </c>
      <c r="AG33" s="8">
        <f>(AE33-AF33)^2</f>
        <v>2.2453123717769102E-7</v>
      </c>
    </row>
    <row r="34" spans="7:33" x14ac:dyDescent="0.3">
      <c r="G34">
        <v>7.5</v>
      </c>
      <c r="H34" s="10">
        <f>H23</f>
        <v>4.4897735989817527</v>
      </c>
      <c r="I34" s="10">
        <f>I23</f>
        <v>9.5398675811782763</v>
      </c>
      <c r="J34">
        <f t="shared" si="13"/>
        <v>3.2376239274323211E-5</v>
      </c>
      <c r="K34">
        <f t="shared" si="14"/>
        <v>2.8849109945708258E-10</v>
      </c>
      <c r="L34">
        <f t="shared" si="15"/>
        <v>3.1622776601683699E-8</v>
      </c>
      <c r="M34" s="10">
        <v>24.158197015078823</v>
      </c>
      <c r="N34" s="10">
        <f t="shared" si="23"/>
        <v>3.24941467904259E-2</v>
      </c>
      <c r="O34" s="10">
        <f t="shared" si="16"/>
        <v>0.96750585320957405</v>
      </c>
      <c r="P34" s="9">
        <f t="shared" si="24"/>
        <v>0.78423401674589599</v>
      </c>
      <c r="Q34" s="9">
        <f t="shared" si="25"/>
        <v>0.21130339815569404</v>
      </c>
      <c r="R34" s="9">
        <f t="shared" si="17"/>
        <v>0.99553741490159009</v>
      </c>
      <c r="S34" s="9"/>
      <c r="V34">
        <v>7.5</v>
      </c>
      <c r="W34" s="10">
        <f>W23</f>
        <v>4.6764641489024328</v>
      </c>
      <c r="X34" s="10">
        <f>X23</f>
        <v>9.4167166088466949</v>
      </c>
      <c r="Y34">
        <f t="shared" si="18"/>
        <v>2.1063757735617898E-5</v>
      </c>
      <c r="Z34">
        <f t="shared" si="19"/>
        <v>3.8307463032685189E-10</v>
      </c>
      <c r="AA34">
        <f t="shared" si="20"/>
        <v>3.1622776601683699E-8</v>
      </c>
      <c r="AB34" s="10">
        <v>4.4663950595515924</v>
      </c>
      <c r="AC34" s="10">
        <f t="shared" si="26"/>
        <v>0.4545052492969136</v>
      </c>
      <c r="AD34" s="10">
        <f t="shared" si="21"/>
        <v>0.5454947507030864</v>
      </c>
      <c r="AE34" s="9">
        <f t="shared" si="22"/>
        <v>2.0561179063140052</v>
      </c>
      <c r="AF34" s="9"/>
    </row>
    <row r="35" spans="7:33" x14ac:dyDescent="0.3">
      <c r="G35">
        <v>8</v>
      </c>
      <c r="H35" s="10">
        <f>H23</f>
        <v>4.4897735989817527</v>
      </c>
      <c r="I35" s="10">
        <f>I23</f>
        <v>9.5398675811782763</v>
      </c>
      <c r="J35">
        <f t="shared" si="13"/>
        <v>3.2376239274323211E-5</v>
      </c>
      <c r="K35">
        <f t="shared" si="14"/>
        <v>2.8849109945708258E-10</v>
      </c>
      <c r="L35">
        <f t="shared" si="15"/>
        <v>1E-8</v>
      </c>
      <c r="M35" s="10">
        <v>24.158197015078823</v>
      </c>
      <c r="N35" s="10">
        <f t="shared" si="23"/>
        <v>3.24941467904259E-2</v>
      </c>
      <c r="O35" s="10">
        <f t="shared" si="16"/>
        <v>0.96750585320957405</v>
      </c>
      <c r="P35" s="9">
        <f t="shared" si="24"/>
        <v>0.78475761310433401</v>
      </c>
      <c r="Q35" s="9">
        <f t="shared" si="25"/>
        <v>0.65538855401866569</v>
      </c>
      <c r="R35" s="9">
        <f t="shared" si="17"/>
        <v>1.4401461671229998</v>
      </c>
      <c r="S35" s="9"/>
      <c r="V35">
        <v>8</v>
      </c>
      <c r="W35" s="10">
        <f>W23</f>
        <v>4.6764641489024328</v>
      </c>
      <c r="X35" s="10">
        <f>X23</f>
        <v>9.4167166088466949</v>
      </c>
      <c r="Y35">
        <f t="shared" si="18"/>
        <v>2.1063757735617898E-5</v>
      </c>
      <c r="Z35">
        <f t="shared" si="19"/>
        <v>3.8307463032685189E-10</v>
      </c>
      <c r="AA35">
        <f t="shared" si="20"/>
        <v>1E-8</v>
      </c>
      <c r="AB35" s="10">
        <v>4.4663950595515924</v>
      </c>
      <c r="AC35" s="10">
        <f t="shared" si="26"/>
        <v>0.4545052492969136</v>
      </c>
      <c r="AD35" s="10">
        <f t="shared" si="21"/>
        <v>0.5454947507030864</v>
      </c>
      <c r="AE35" s="9">
        <f t="shared" si="22"/>
        <v>2.1189254220645362</v>
      </c>
      <c r="AF35" s="9"/>
    </row>
    <row r="36" spans="7:33" x14ac:dyDescent="0.3">
      <c r="G36">
        <v>8.5</v>
      </c>
      <c r="H36" s="10">
        <f>H23</f>
        <v>4.4897735989817527</v>
      </c>
      <c r="I36" s="10">
        <f>I23</f>
        <v>9.5398675811782763</v>
      </c>
      <c r="J36">
        <f t="shared" si="13"/>
        <v>3.2376239274323211E-5</v>
      </c>
      <c r="K36">
        <f t="shared" si="14"/>
        <v>2.8849109945708258E-10</v>
      </c>
      <c r="L36">
        <f t="shared" si="15"/>
        <v>3.1622776601683779E-9</v>
      </c>
      <c r="M36" s="10">
        <v>24.158197015078823</v>
      </c>
      <c r="N36" s="10">
        <f t="shared" si="23"/>
        <v>3.24941467904259E-2</v>
      </c>
      <c r="O36" s="10">
        <f t="shared" si="16"/>
        <v>0.96750585320957405</v>
      </c>
      <c r="P36" s="9">
        <f t="shared" si="24"/>
        <v>0.78492333434701556</v>
      </c>
      <c r="Q36" s="9">
        <f t="shared" si="25"/>
        <v>1.9540455401129102</v>
      </c>
      <c r="R36" s="9">
        <f t="shared" si="17"/>
        <v>2.7389688744599257</v>
      </c>
      <c r="S36" s="9"/>
      <c r="V36">
        <v>8.5</v>
      </c>
      <c r="W36" s="10">
        <f>W23</f>
        <v>4.6764641489024328</v>
      </c>
      <c r="X36" s="10">
        <f>X23</f>
        <v>9.4167166088466949</v>
      </c>
      <c r="Y36">
        <f t="shared" si="18"/>
        <v>2.1063757735617898E-5</v>
      </c>
      <c r="Z36">
        <f t="shared" si="19"/>
        <v>3.8307463032685189E-10</v>
      </c>
      <c r="AA36">
        <f t="shared" si="20"/>
        <v>3.1622776601683779E-9</v>
      </c>
      <c r="AB36" s="10">
        <v>4.4663950595515924</v>
      </c>
      <c r="AC36" s="10">
        <f t="shared" si="26"/>
        <v>0.4545052492969136</v>
      </c>
      <c r="AD36" s="10">
        <f t="shared" si="21"/>
        <v>0.5454947507030864</v>
      </c>
      <c r="AE36" s="9">
        <f t="shared" si="22"/>
        <v>2.2929472998672407</v>
      </c>
      <c r="AF36" s="9"/>
    </row>
    <row r="37" spans="7:33" x14ac:dyDescent="0.3">
      <c r="G37">
        <v>9</v>
      </c>
      <c r="H37" s="10">
        <f>H23</f>
        <v>4.4897735989817527</v>
      </c>
      <c r="I37" s="10">
        <f>I23</f>
        <v>9.5398675811782763</v>
      </c>
      <c r="J37">
        <f t="shared" si="13"/>
        <v>3.2376239274323211E-5</v>
      </c>
      <c r="K37">
        <f t="shared" si="14"/>
        <v>2.8849109945708258E-10</v>
      </c>
      <c r="L37">
        <f t="shared" si="15"/>
        <v>1.0000000000000001E-9</v>
      </c>
      <c r="M37" s="10">
        <v>24.158197015078823</v>
      </c>
      <c r="N37" s="10">
        <f t="shared" si="23"/>
        <v>3.24941467904259E-2</v>
      </c>
      <c r="O37" s="10">
        <f t="shared" si="16"/>
        <v>0.96750585320957405</v>
      </c>
      <c r="P37" s="9">
        <f t="shared" si="24"/>
        <v>0.78497575457273083</v>
      </c>
      <c r="Q37" s="9">
        <f t="shared" si="25"/>
        <v>5.2332214848424616</v>
      </c>
      <c r="R37" s="9">
        <f t="shared" si="17"/>
        <v>6.0181972394151924</v>
      </c>
      <c r="S37" s="9">
        <v>7.2865588592537298</v>
      </c>
      <c r="T37" s="8">
        <f>(R37-S37)^2</f>
        <v>1.6087411986794387</v>
      </c>
      <c r="V37">
        <v>9</v>
      </c>
      <c r="W37" s="10">
        <f>W23</f>
        <v>4.6764641489024328</v>
      </c>
      <c r="X37" s="10">
        <f>X23</f>
        <v>9.4167166088466949</v>
      </c>
      <c r="Y37">
        <f t="shared" si="18"/>
        <v>2.1063757735617898E-5</v>
      </c>
      <c r="Z37">
        <f t="shared" si="19"/>
        <v>3.8307463032685189E-10</v>
      </c>
      <c r="AA37">
        <f t="shared" si="20"/>
        <v>1.0000000000000001E-9</v>
      </c>
      <c r="AB37" s="10">
        <v>4.4663950595515924</v>
      </c>
      <c r="AC37" s="10">
        <f t="shared" si="26"/>
        <v>0.4545052492969136</v>
      </c>
      <c r="AD37" s="10">
        <f t="shared" si="21"/>
        <v>0.5454947507030864</v>
      </c>
      <c r="AE37" s="9">
        <f t="shared" si="22"/>
        <v>2.7047198091168623</v>
      </c>
      <c r="AF37" s="9">
        <v>1.6053456990139137</v>
      </c>
      <c r="AG37" s="8">
        <f>(AE37-AF37)^2</f>
        <v>1.2086234339646502</v>
      </c>
    </row>
    <row r="38" spans="7:33" x14ac:dyDescent="0.3">
      <c r="G38">
        <v>9.5</v>
      </c>
      <c r="H38" s="10">
        <f>H23</f>
        <v>4.4897735989817527</v>
      </c>
      <c r="I38" s="10">
        <f>I23</f>
        <v>9.5398675811782763</v>
      </c>
      <c r="J38">
        <f t="shared" si="13"/>
        <v>3.2376239274323211E-5</v>
      </c>
      <c r="K38">
        <f t="shared" si="14"/>
        <v>2.8849109945708258E-10</v>
      </c>
      <c r="L38">
        <f t="shared" si="15"/>
        <v>3.1622776601683744E-10</v>
      </c>
      <c r="M38" s="10">
        <v>24.158197015078823</v>
      </c>
      <c r="N38" s="10">
        <f t="shared" si="23"/>
        <v>3.24941467904259E-2</v>
      </c>
      <c r="O38" s="10">
        <f t="shared" si="16"/>
        <v>0.96750585320957405</v>
      </c>
      <c r="P38" s="9">
        <f t="shared" si="24"/>
        <v>0.78499233276077474</v>
      </c>
      <c r="Q38" s="9">
        <f t="shared" si="25"/>
        <v>11.150568784426152</v>
      </c>
      <c r="R38" s="9">
        <f t="shared" si="17"/>
        <v>11.935561117186927</v>
      </c>
      <c r="S38" s="9"/>
      <c r="V38">
        <v>9.5</v>
      </c>
      <c r="W38" s="10">
        <f>W23</f>
        <v>4.6764641489024328</v>
      </c>
      <c r="X38" s="10">
        <f>X23</f>
        <v>9.4167166088466949</v>
      </c>
      <c r="Y38">
        <f t="shared" si="18"/>
        <v>2.1063757735617898E-5</v>
      </c>
      <c r="Z38">
        <f t="shared" si="19"/>
        <v>3.8307463032685189E-10</v>
      </c>
      <c r="AA38">
        <f t="shared" si="20"/>
        <v>3.1622776601683744E-10</v>
      </c>
      <c r="AB38" s="10">
        <v>4.4663950595515924</v>
      </c>
      <c r="AC38" s="10">
        <f t="shared" si="26"/>
        <v>0.4545052492969136</v>
      </c>
      <c r="AD38" s="10">
        <f t="shared" si="21"/>
        <v>0.5454947507030864</v>
      </c>
      <c r="AE38" s="9">
        <f t="shared" si="22"/>
        <v>3.3646155109988864</v>
      </c>
      <c r="AF38" s="9"/>
    </row>
    <row r="39" spans="7:33" x14ac:dyDescent="0.3">
      <c r="G39">
        <v>10</v>
      </c>
      <c r="H39" s="10">
        <f>H23</f>
        <v>4.4897735989817527</v>
      </c>
      <c r="I39" s="10">
        <f>I23</f>
        <v>9.5398675811782763</v>
      </c>
      <c r="J39">
        <f t="shared" si="13"/>
        <v>3.2376239274323211E-5</v>
      </c>
      <c r="K39">
        <f t="shared" si="14"/>
        <v>2.8849109945708258E-10</v>
      </c>
      <c r="L39">
        <f t="shared" si="15"/>
        <v>1E-10</v>
      </c>
      <c r="M39" s="10">
        <v>24.158197015078823</v>
      </c>
      <c r="N39" s="10">
        <f t="shared" si="23"/>
        <v>3.24941467904259E-2</v>
      </c>
      <c r="O39" s="10">
        <f t="shared" si="16"/>
        <v>0.96750585320957405</v>
      </c>
      <c r="P39" s="9">
        <f t="shared" si="24"/>
        <v>0.78499757538987558</v>
      </c>
      <c r="Q39" s="9">
        <f t="shared" si="25"/>
        <v>17.356792251174852</v>
      </c>
      <c r="R39" s="9">
        <f t="shared" si="17"/>
        <v>18.141789826564725</v>
      </c>
      <c r="S39" s="9">
        <v>15.914352093503275</v>
      </c>
      <c r="T39" s="8">
        <f>(R39-S39)^2</f>
        <v>4.9614788546659305</v>
      </c>
      <c r="V39">
        <v>10</v>
      </c>
      <c r="W39" s="10">
        <f>W23</f>
        <v>4.6764641489024328</v>
      </c>
      <c r="X39" s="10">
        <f>X23</f>
        <v>9.4167166088466949</v>
      </c>
      <c r="Y39">
        <f t="shared" si="18"/>
        <v>2.1063757735617898E-5</v>
      </c>
      <c r="Z39">
        <f t="shared" si="19"/>
        <v>3.8307463032685189E-10</v>
      </c>
      <c r="AA39">
        <f t="shared" si="20"/>
        <v>1E-10</v>
      </c>
      <c r="AB39" s="10">
        <v>4.4663950595515924</v>
      </c>
      <c r="AC39" s="10">
        <f t="shared" si="26"/>
        <v>0.4545052492969136</v>
      </c>
      <c r="AD39" s="10">
        <f t="shared" si="21"/>
        <v>0.5454947507030864</v>
      </c>
      <c r="AE39" s="9">
        <f t="shared" si="22"/>
        <v>3.9620337327005299</v>
      </c>
      <c r="AF39" s="9">
        <v>5.2234828584717956</v>
      </c>
      <c r="AG39" s="8">
        <f>(AE39-AF39)^2</f>
        <v>1.5912538969090904</v>
      </c>
    </row>
    <row r="40" spans="7:33" x14ac:dyDescent="0.3">
      <c r="G40">
        <v>10.5</v>
      </c>
      <c r="H40" s="10">
        <f>H23</f>
        <v>4.4897735989817527</v>
      </c>
      <c r="I40" s="10">
        <f>I23</f>
        <v>9.5398675811782763</v>
      </c>
      <c r="J40">
        <f t="shared" si="13"/>
        <v>3.2376239274323211E-5</v>
      </c>
      <c r="K40">
        <f t="shared" si="14"/>
        <v>2.8849109945708258E-10</v>
      </c>
      <c r="L40">
        <f t="shared" si="15"/>
        <v>3.162277660168371E-11</v>
      </c>
      <c r="M40" s="10">
        <v>24.158197015078823</v>
      </c>
      <c r="N40" s="10">
        <f t="shared" si="23"/>
        <v>3.24941467904259E-2</v>
      </c>
      <c r="O40" s="10">
        <f t="shared" si="16"/>
        <v>0.96750585320957405</v>
      </c>
      <c r="P40" s="9">
        <f t="shared" si="24"/>
        <v>0.78499923326933774</v>
      </c>
      <c r="Q40" s="9">
        <f t="shared" si="25"/>
        <v>21.064251846018767</v>
      </c>
      <c r="R40" s="9">
        <f t="shared" si="17"/>
        <v>21.849251079288102</v>
      </c>
      <c r="S40" s="9">
        <v>24.158197015078823</v>
      </c>
      <c r="T40" s="8">
        <f>(R40-S40)^2</f>
        <v>5.3312313344044879</v>
      </c>
      <c r="V40">
        <v>10.5</v>
      </c>
      <c r="W40" s="10">
        <f>W23</f>
        <v>4.6764641489024328</v>
      </c>
      <c r="X40" s="10">
        <f>X23</f>
        <v>9.4167166088466949</v>
      </c>
      <c r="Y40">
        <f t="shared" si="18"/>
        <v>2.1063757735617898E-5</v>
      </c>
      <c r="Z40">
        <f t="shared" si="19"/>
        <v>3.8307463032685189E-10</v>
      </c>
      <c r="AA40">
        <f t="shared" si="20"/>
        <v>3.162277660168371E-11</v>
      </c>
      <c r="AB40" s="10">
        <v>4.4663950595515924</v>
      </c>
      <c r="AC40" s="10">
        <f t="shared" si="26"/>
        <v>0.4545052492969136</v>
      </c>
      <c r="AD40" s="10">
        <f t="shared" si="21"/>
        <v>0.5454947507030864</v>
      </c>
      <c r="AE40" s="9">
        <f t="shared" si="22"/>
        <v>4.2806045548829452</v>
      </c>
      <c r="AF40" s="9">
        <v>4.4663950595515924</v>
      </c>
      <c r="AG40" s="8">
        <f>(AE40-AF40)^2</f>
        <v>3.4518111625030622E-2</v>
      </c>
    </row>
    <row r="41" spans="7:33" x14ac:dyDescent="0.3">
      <c r="G41">
        <v>11</v>
      </c>
      <c r="H41" s="10">
        <f>H23</f>
        <v>4.4897735989817527</v>
      </c>
      <c r="I41" s="10">
        <f>I23</f>
        <v>9.5398675811782763</v>
      </c>
      <c r="J41">
        <f t="shared" si="13"/>
        <v>3.2376239274323211E-5</v>
      </c>
      <c r="K41">
        <f t="shared" si="14"/>
        <v>2.8849109945708258E-10</v>
      </c>
      <c r="L41">
        <f t="shared" si="15"/>
        <v>9.9999999999999994E-12</v>
      </c>
      <c r="M41" s="10">
        <v>24.158197015078823</v>
      </c>
      <c r="N41" s="10">
        <f t="shared" si="23"/>
        <v>3.24941467904259E-2</v>
      </c>
      <c r="O41" s="10">
        <f t="shared" si="16"/>
        <v>0.96750585320957405</v>
      </c>
      <c r="P41" s="9">
        <f t="shared" si="24"/>
        <v>0.78499975753831364</v>
      </c>
      <c r="Q41" s="9">
        <f t="shared" si="25"/>
        <v>22.590151991036503</v>
      </c>
      <c r="R41" s="9">
        <f t="shared" si="17"/>
        <v>23.375151748574819</v>
      </c>
      <c r="S41" s="9"/>
      <c r="V41">
        <v>11</v>
      </c>
      <c r="W41" s="10">
        <f>W23</f>
        <v>4.6764641489024328</v>
      </c>
      <c r="X41" s="10">
        <f>X23</f>
        <v>9.4167166088466949</v>
      </c>
      <c r="Y41">
        <f t="shared" si="18"/>
        <v>2.1063757735617898E-5</v>
      </c>
      <c r="Z41">
        <f t="shared" si="19"/>
        <v>3.8307463032685189E-10</v>
      </c>
      <c r="AA41">
        <f t="shared" si="20"/>
        <v>9.9999999999999994E-12</v>
      </c>
      <c r="AB41" s="10">
        <v>4.4663950595515924</v>
      </c>
      <c r="AC41" s="10">
        <f t="shared" si="26"/>
        <v>0.4545052492969136</v>
      </c>
      <c r="AD41" s="10">
        <f t="shared" si="21"/>
        <v>0.5454947507030864</v>
      </c>
      <c r="AE41" s="9">
        <f t="shared" si="22"/>
        <v>4.4044110810967014</v>
      </c>
      <c r="AF41" s="9"/>
    </row>
    <row r="42" spans="7:33" x14ac:dyDescent="0.3">
      <c r="G42">
        <v>11.5</v>
      </c>
      <c r="H42" s="10">
        <f>H23</f>
        <v>4.4897735989817527</v>
      </c>
      <c r="I42" s="10">
        <f>I23</f>
        <v>9.5398675811782763</v>
      </c>
      <c r="J42">
        <f t="shared" si="13"/>
        <v>3.2376239274323211E-5</v>
      </c>
      <c r="K42">
        <f t="shared" si="14"/>
        <v>2.8849109945708258E-10</v>
      </c>
      <c r="L42">
        <f t="shared" si="15"/>
        <v>3.1622776601683669E-12</v>
      </c>
      <c r="M42" s="10">
        <v>24.158197015078823</v>
      </c>
      <c r="N42" s="10">
        <f t="shared" si="23"/>
        <v>3.24941467904259E-2</v>
      </c>
      <c r="O42" s="10">
        <f t="shared" si="16"/>
        <v>0.96750585320957405</v>
      </c>
      <c r="P42" s="9">
        <f t="shared" si="24"/>
        <v>0.78499992332686641</v>
      </c>
      <c r="Q42" s="9">
        <f t="shared" si="25"/>
        <v>23.119771049303761</v>
      </c>
      <c r="R42" s="9">
        <f t="shared" si="17"/>
        <v>23.904770972630626</v>
      </c>
      <c r="S42" s="9"/>
      <c r="T42" s="8"/>
      <c r="V42">
        <v>11.5</v>
      </c>
      <c r="W42" s="10">
        <f>W23</f>
        <v>4.6764641489024328</v>
      </c>
      <c r="X42" s="10">
        <f>X23</f>
        <v>9.4167166088466949</v>
      </c>
      <c r="Y42">
        <f t="shared" si="18"/>
        <v>2.1063757735617898E-5</v>
      </c>
      <c r="Z42">
        <f t="shared" si="19"/>
        <v>3.8307463032685189E-10</v>
      </c>
      <c r="AA42">
        <f t="shared" si="20"/>
        <v>3.1622776601683669E-12</v>
      </c>
      <c r="AB42" s="10">
        <v>4.4663950595515924</v>
      </c>
      <c r="AC42" s="10">
        <f t="shared" si="26"/>
        <v>0.4545052492969136</v>
      </c>
      <c r="AD42" s="10">
        <f t="shared" si="21"/>
        <v>0.5454947507030864</v>
      </c>
      <c r="AE42" s="9">
        <f t="shared" si="22"/>
        <v>4.4464470037884487</v>
      </c>
      <c r="AF42" s="9"/>
      <c r="AG42" s="8"/>
    </row>
    <row r="43" spans="7:33" x14ac:dyDescent="0.3">
      <c r="G43">
        <v>12</v>
      </c>
      <c r="H43" s="10">
        <f>H23</f>
        <v>4.4897735989817527</v>
      </c>
      <c r="I43" s="10">
        <f>I23</f>
        <v>9.5398675811782763</v>
      </c>
      <c r="J43">
        <f t="shared" si="13"/>
        <v>3.2376239274323211E-5</v>
      </c>
      <c r="K43">
        <f t="shared" si="14"/>
        <v>2.8849109945708258E-10</v>
      </c>
      <c r="L43">
        <f t="shared" si="15"/>
        <v>9.9999999999999998E-13</v>
      </c>
      <c r="M43" s="10">
        <v>24.158197015078823</v>
      </c>
      <c r="N43" s="10">
        <f t="shared" si="23"/>
        <v>3.24941467904259E-2</v>
      </c>
      <c r="O43" s="10">
        <f t="shared" si="16"/>
        <v>0.96750585320957405</v>
      </c>
      <c r="P43" s="9">
        <f t="shared" si="24"/>
        <v>0.78499997575382452</v>
      </c>
      <c r="Q43" s="9">
        <f t="shared" si="25"/>
        <v>23.292458100967426</v>
      </c>
      <c r="R43" s="9">
        <f t="shared" si="17"/>
        <v>24.07745807672125</v>
      </c>
      <c r="S43" s="9"/>
      <c r="T43" s="11" t="s">
        <v>108</v>
      </c>
      <c r="V43">
        <v>12</v>
      </c>
      <c r="W43" s="10">
        <f>W23</f>
        <v>4.6764641489024328</v>
      </c>
      <c r="X43" s="10">
        <f>X23</f>
        <v>9.4167166088466949</v>
      </c>
      <c r="Y43">
        <f t="shared" si="18"/>
        <v>2.1063757735617898E-5</v>
      </c>
      <c r="Z43">
        <f t="shared" si="19"/>
        <v>3.8307463032685189E-10</v>
      </c>
      <c r="AA43">
        <f t="shared" si="20"/>
        <v>9.9999999999999998E-13</v>
      </c>
      <c r="AB43" s="10">
        <v>4.4663950595515924</v>
      </c>
      <c r="AC43" s="10">
        <f t="shared" si="26"/>
        <v>0.4545052492969136</v>
      </c>
      <c r="AD43" s="10">
        <f t="shared" si="21"/>
        <v>0.5454947507030864</v>
      </c>
      <c r="AE43" s="9">
        <f t="shared" si="22"/>
        <v>4.4600514172435579</v>
      </c>
      <c r="AF43" s="9"/>
      <c r="AG43" s="11" t="s">
        <v>108</v>
      </c>
    </row>
    <row r="44" spans="7:33" x14ac:dyDescent="0.3">
      <c r="T44" s="12">
        <f>SUM(T26:T40)</f>
        <v>11.960668251396058</v>
      </c>
      <c r="AG44" s="12">
        <f>SUM(AG26:AG40)</f>
        <v>2.9429741548217074</v>
      </c>
    </row>
  </sheetData>
  <mergeCells count="8">
    <mergeCell ref="V2:AE2"/>
    <mergeCell ref="G24:R24"/>
    <mergeCell ref="V24:AE24"/>
    <mergeCell ref="B1:D1"/>
    <mergeCell ref="B8:D8"/>
    <mergeCell ref="B15:D15"/>
    <mergeCell ref="B22:D22"/>
    <mergeCell ref="G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C9A9-B31A-4DCF-89F6-98E020366D7A}">
  <dimension ref="A1:AJ44"/>
  <sheetViews>
    <sheetView workbookViewId="0">
      <selection activeCell="S1" sqref="S1:T1048576"/>
    </sheetView>
  </sheetViews>
  <sheetFormatPr defaultRowHeight="14.4" x14ac:dyDescent="0.3"/>
  <cols>
    <col min="17" max="18" width="9.5546875" bestFit="1" customWidth="1"/>
    <col min="19" max="20" width="9.5546875" customWidth="1"/>
    <col min="23" max="23" width="18.77734375" bestFit="1" customWidth="1"/>
    <col min="24" max="24" width="18.77734375" customWidth="1"/>
    <col min="31" max="31" width="10.5546875" bestFit="1" customWidth="1"/>
  </cols>
  <sheetData>
    <row r="1" spans="1:36" x14ac:dyDescent="0.3">
      <c r="B1" s="15" t="s">
        <v>76</v>
      </c>
      <c r="C1" s="15"/>
      <c r="D1" s="15"/>
      <c r="E1" t="s">
        <v>110</v>
      </c>
      <c r="H1" s="13" t="s">
        <v>80</v>
      </c>
      <c r="J1" s="11" t="s">
        <v>109</v>
      </c>
      <c r="K1" s="10">
        <v>5.6074033271635644</v>
      </c>
      <c r="L1" s="10">
        <v>9.2490896653029964</v>
      </c>
      <c r="Y1" s="11" t="s">
        <v>109</v>
      </c>
      <c r="Z1" s="10">
        <v>5.1855209722079012</v>
      </c>
      <c r="AA1" s="10">
        <v>9.3948462821799392</v>
      </c>
    </row>
    <row r="2" spans="1:36" x14ac:dyDescent="0.3">
      <c r="B2">
        <v>3.5</v>
      </c>
      <c r="C2">
        <v>0.2265154060084035</v>
      </c>
      <c r="D2">
        <v>3.5618058126341334E-2</v>
      </c>
      <c r="E2">
        <v>25.45</v>
      </c>
      <c r="F2" s="9">
        <f>C2/E2</f>
        <v>8.9004088804873673E-3</v>
      </c>
      <c r="G2" s="9">
        <f>D2/E2</f>
        <v>1.3995307711725477E-3</v>
      </c>
      <c r="H2" s="9">
        <f>F7-F4</f>
        <v>0.24232378783949327</v>
      </c>
      <c r="I2" s="9">
        <f>MAX(G7,G2)</f>
        <v>3.0444495031265507E-3</v>
      </c>
      <c r="J2" s="14" t="s">
        <v>76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7"/>
      <c r="Y2" s="14" t="s">
        <v>78</v>
      </c>
      <c r="Z2" s="14"/>
      <c r="AA2" s="14"/>
      <c r="AB2" s="14"/>
      <c r="AC2" s="14"/>
      <c r="AD2" s="14"/>
      <c r="AE2" s="14"/>
      <c r="AF2" s="14"/>
      <c r="AG2" s="14"/>
      <c r="AH2" s="14"/>
    </row>
    <row r="3" spans="1:36" x14ac:dyDescent="0.3">
      <c r="A3" t="s">
        <v>79</v>
      </c>
      <c r="B3">
        <v>5</v>
      </c>
      <c r="C3">
        <v>0.17294122284459021</v>
      </c>
      <c r="D3">
        <v>9.2444513838640958E-3</v>
      </c>
      <c r="E3">
        <v>25.45</v>
      </c>
      <c r="F3" s="9">
        <f>C3/E3</f>
        <v>6.7953329212019726E-3</v>
      </c>
      <c r="G3" s="9">
        <f>D3/E3</f>
        <v>3.6323974003395269E-4</v>
      </c>
      <c r="J3" t="s">
        <v>65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  <c r="R3" t="s">
        <v>86</v>
      </c>
      <c r="S3" t="s">
        <v>114</v>
      </c>
      <c r="T3" t="s">
        <v>115</v>
      </c>
      <c r="U3" t="s">
        <v>87</v>
      </c>
      <c r="V3" t="s">
        <v>106</v>
      </c>
      <c r="W3" t="s">
        <v>107</v>
      </c>
      <c r="X3" s="8"/>
      <c r="Y3" t="s">
        <v>65</v>
      </c>
      <c r="Z3" t="s">
        <v>79</v>
      </c>
      <c r="AA3" t="s">
        <v>80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G3" t="s">
        <v>86</v>
      </c>
      <c r="AH3" t="s">
        <v>87</v>
      </c>
      <c r="AI3" t="s">
        <v>106</v>
      </c>
      <c r="AJ3" t="s">
        <v>107</v>
      </c>
    </row>
    <row r="4" spans="1:36" x14ac:dyDescent="0.3">
      <c r="B4">
        <v>7</v>
      </c>
      <c r="C4">
        <v>0.91781034841164311</v>
      </c>
      <c r="D4">
        <v>0.13548975588057455</v>
      </c>
      <c r="E4">
        <v>25.45</v>
      </c>
      <c r="F4" s="9">
        <f t="shared" ref="F4:F7" si="0">C4/E4</f>
        <v>3.6063274986705036E-2</v>
      </c>
      <c r="G4" s="9">
        <f t="shared" ref="G4:G7" si="1">D4/E4</f>
        <v>5.3237625100422221E-3</v>
      </c>
      <c r="J4">
        <v>3.5</v>
      </c>
      <c r="K4" s="10">
        <f>K1</f>
        <v>5.6074033271635644</v>
      </c>
      <c r="L4" s="10">
        <f>L1</f>
        <v>9.2490896653029964</v>
      </c>
      <c r="M4">
        <f t="shared" ref="M4:N21" si="2">10^-K4</f>
        <v>2.4694297324482268E-6</v>
      </c>
      <c r="N4">
        <f t="shared" si="2"/>
        <v>5.6352129808601018E-10</v>
      </c>
      <c r="O4">
        <f t="shared" ref="O4:O21" si="3">10^-J4</f>
        <v>3.1622776601683783E-4</v>
      </c>
      <c r="P4" s="10">
        <v>0.27800000000000002</v>
      </c>
      <c r="Q4" s="10">
        <f>$F$4/P4</f>
        <v>0.12972401074354328</v>
      </c>
      <c r="R4" s="10">
        <f>1-Q4</f>
        <v>0.87027598925645666</v>
      </c>
      <c r="S4" s="9">
        <f>$P4*(($Q4*($M4/($O4+$M4))))</f>
        <v>2.794367967130924E-4</v>
      </c>
      <c r="T4" s="9">
        <f>$P4*(($R4*$N4/($N4+$O4)))</f>
        <v>4.3113309150162155E-7</v>
      </c>
      <c r="U4" s="9">
        <f>$P4*(($Q4*($M4/($O4+$M4)))+($R4*$N4/($N4+$O4)))</f>
        <v>2.7986792980459405E-4</v>
      </c>
      <c r="V4" s="9">
        <v>7.5505135336134503E-3</v>
      </c>
      <c r="W4" s="8">
        <f>(U4-V4)^2</f>
        <v>5.2862287496185051E-5</v>
      </c>
      <c r="Y4">
        <v>3.5</v>
      </c>
      <c r="Z4" s="10">
        <f>Z1</f>
        <v>5.1855209722079012</v>
      </c>
      <c r="AA4" s="10">
        <f>AA1</f>
        <v>9.3948462821799392</v>
      </c>
      <c r="AB4">
        <f t="shared" ref="AB4:AC21" si="4">10^-Z4</f>
        <v>6.5234753818363517E-6</v>
      </c>
      <c r="AC4">
        <f t="shared" si="4"/>
        <v>4.0285960058876319E-10</v>
      </c>
      <c r="AD4">
        <f t="shared" ref="AD4:AD21" si="5">10^-Y4</f>
        <v>3.1622776601683783E-4</v>
      </c>
      <c r="AE4" s="9">
        <v>0.26</v>
      </c>
      <c r="AF4" s="10">
        <f>0.00487933711273893/AE4</f>
        <v>1.8766681202842039E-2</v>
      </c>
      <c r="AG4" s="10">
        <f t="shared" ref="AG4:AG21" si="6">1-AF4</f>
        <v>0.98123331879715792</v>
      </c>
      <c r="AH4" s="9">
        <f t="shared" ref="AH4:AH21" si="7">AE4*((AF4*(AB4/(AD4+AB4)))+(AG4*AC4/(AC4+AD4)))</f>
        <v>9.8946585855174578E-5</v>
      </c>
      <c r="AI4">
        <v>3.0104884429559098E-3</v>
      </c>
      <c r="AJ4" s="8">
        <f>(AH4-AI4)^2</f>
        <v>8.4770759856495982E-6</v>
      </c>
    </row>
    <row r="5" spans="1:36" x14ac:dyDescent="0.3">
      <c r="B5">
        <v>9</v>
      </c>
      <c r="C5">
        <v>2.76564971858808</v>
      </c>
      <c r="D5">
        <v>0.41473562208781861</v>
      </c>
      <c r="E5">
        <v>25.45</v>
      </c>
      <c r="F5" s="9">
        <f t="shared" si="0"/>
        <v>0.10866993000346091</v>
      </c>
      <c r="G5" s="9">
        <f t="shared" si="1"/>
        <v>1.6296095170444738E-2</v>
      </c>
      <c r="J5">
        <v>4</v>
      </c>
      <c r="K5" s="10">
        <f>K1</f>
        <v>5.6074033271635644</v>
      </c>
      <c r="L5" s="10">
        <f>L1</f>
        <v>9.2490896653029964</v>
      </c>
      <c r="M5">
        <f t="shared" si="2"/>
        <v>2.4694297324482268E-6</v>
      </c>
      <c r="N5">
        <f t="shared" si="2"/>
        <v>5.6352129808601018E-10</v>
      </c>
      <c r="O5">
        <f t="shared" si="3"/>
        <v>1E-4</v>
      </c>
      <c r="P5" s="10">
        <v>0.27800000000000002</v>
      </c>
      <c r="Q5" s="10">
        <f t="shared" ref="Q5:Q21" si="8">$F$4/P5</f>
        <v>0.12972401074354328</v>
      </c>
      <c r="R5" s="10">
        <f t="shared" ref="R5:R21" si="9">1-Q5</f>
        <v>0.87027598925645666</v>
      </c>
      <c r="S5" s="9">
        <f t="shared" ref="S5:S21" si="10">$P5*(($Q5*($M5/($O5+$M5))))</f>
        <v>8.6909553155662029E-4</v>
      </c>
      <c r="T5" s="9">
        <f t="shared" ref="T5:T21" si="11">$P5*(($R5*$N5/($N5+$O5)))</f>
        <v>1.3633572905329995E-6</v>
      </c>
      <c r="U5" s="9">
        <f t="shared" ref="U5:U21" si="12">P5*((Q5*(M5/(O5+M5)))+(R5*N5/(N5+O5)))</f>
        <v>8.7045888884715328E-4</v>
      </c>
      <c r="V5" s="9"/>
      <c r="Y5">
        <v>4</v>
      </c>
      <c r="Z5" s="10">
        <f>Z1</f>
        <v>5.1855209722079012</v>
      </c>
      <c r="AA5" s="10">
        <f>AA1</f>
        <v>9.3948462821799392</v>
      </c>
      <c r="AB5">
        <f t="shared" si="4"/>
        <v>6.5234753818363517E-6</v>
      </c>
      <c r="AC5">
        <f t="shared" si="4"/>
        <v>4.0285960058876319E-10</v>
      </c>
      <c r="AD5">
        <f t="shared" si="5"/>
        <v>1E-4</v>
      </c>
      <c r="AE5" s="9">
        <v>0.26</v>
      </c>
      <c r="AF5" s="10">
        <f t="shared" ref="AF5:AF21" si="13">0.00487933711273893/AE5</f>
        <v>1.8766681202842039E-2</v>
      </c>
      <c r="AG5" s="10">
        <f t="shared" si="6"/>
        <v>0.98123331879715792</v>
      </c>
      <c r="AH5" s="9">
        <f t="shared" si="7"/>
        <v>2.9983735953472877E-4</v>
      </c>
      <c r="AI5" s="9"/>
    </row>
    <row r="6" spans="1:36" x14ac:dyDescent="0.3">
      <c r="B6">
        <v>10</v>
      </c>
      <c r="C6">
        <v>7.5257628875904024</v>
      </c>
      <c r="D6">
        <v>0.2090742121348014</v>
      </c>
      <c r="E6">
        <v>25.45</v>
      </c>
      <c r="F6" s="9">
        <f t="shared" si="0"/>
        <v>0.29570777554382721</v>
      </c>
      <c r="G6" s="9">
        <f t="shared" si="1"/>
        <v>8.2150967440000559E-3</v>
      </c>
      <c r="J6">
        <v>4.5</v>
      </c>
      <c r="K6" s="10">
        <f>K1</f>
        <v>5.6074033271635644</v>
      </c>
      <c r="L6" s="10">
        <f>L1</f>
        <v>9.2490896653029964</v>
      </c>
      <c r="M6">
        <f t="shared" si="2"/>
        <v>2.4694297324482268E-6</v>
      </c>
      <c r="N6">
        <f t="shared" si="2"/>
        <v>5.6352129808601018E-10</v>
      </c>
      <c r="O6">
        <f t="shared" si="3"/>
        <v>3.1622776601683748E-5</v>
      </c>
      <c r="P6" s="10">
        <v>0.27800000000000002</v>
      </c>
      <c r="Q6" s="10">
        <f t="shared" si="8"/>
        <v>0.12972401074354328</v>
      </c>
      <c r="R6" s="10">
        <f t="shared" si="9"/>
        <v>0.87027598925645666</v>
      </c>
      <c r="S6" s="9">
        <f t="shared" si="10"/>
        <v>2.6122018219884536E-3</v>
      </c>
      <c r="T6" s="9">
        <f t="shared" si="11"/>
        <v>4.3112617707036393E-6</v>
      </c>
      <c r="U6" s="9">
        <f t="shared" si="12"/>
        <v>2.6165130837591576E-3</v>
      </c>
      <c r="V6" s="9"/>
      <c r="X6" s="8"/>
      <c r="Y6">
        <v>4.5</v>
      </c>
      <c r="Z6" s="10">
        <f>Z1</f>
        <v>5.1855209722079012</v>
      </c>
      <c r="AA6" s="10">
        <f>AA1</f>
        <v>9.3948462821799392</v>
      </c>
      <c r="AB6">
        <f t="shared" si="4"/>
        <v>6.5234753818363517E-6</v>
      </c>
      <c r="AC6">
        <f t="shared" si="4"/>
        <v>4.0285960058876319E-10</v>
      </c>
      <c r="AD6">
        <f t="shared" si="5"/>
        <v>3.1622776601683748E-5</v>
      </c>
      <c r="AE6" s="9">
        <v>0.26</v>
      </c>
      <c r="AF6" s="10">
        <f t="shared" si="13"/>
        <v>1.8766681202842039E-2</v>
      </c>
      <c r="AG6" s="10">
        <f t="shared" si="6"/>
        <v>0.98123331879715792</v>
      </c>
      <c r="AH6" s="9">
        <f t="shared" si="7"/>
        <v>8.376763686518858E-4</v>
      </c>
      <c r="AI6" s="9"/>
    </row>
    <row r="7" spans="1:36" x14ac:dyDescent="0.3">
      <c r="A7" t="s">
        <v>111</v>
      </c>
      <c r="B7">
        <v>10.5</v>
      </c>
      <c r="C7">
        <v>7.0849507489267465</v>
      </c>
      <c r="D7">
        <v>7.7481239854570713E-2</v>
      </c>
      <c r="E7">
        <v>25.45</v>
      </c>
      <c r="F7" s="9">
        <f t="shared" si="0"/>
        <v>0.27838706282619829</v>
      </c>
      <c r="G7" s="9">
        <f t="shared" si="1"/>
        <v>3.0444495031265507E-3</v>
      </c>
      <c r="J7">
        <v>5</v>
      </c>
      <c r="K7" s="10">
        <f>K1</f>
        <v>5.6074033271635644</v>
      </c>
      <c r="L7" s="10">
        <f>L1</f>
        <v>9.2490896653029964</v>
      </c>
      <c r="M7">
        <f t="shared" si="2"/>
        <v>2.4694297324482268E-6</v>
      </c>
      <c r="N7">
        <f t="shared" si="2"/>
        <v>5.6352129808601018E-10</v>
      </c>
      <c r="O7">
        <f t="shared" si="3"/>
        <v>1.0000000000000001E-5</v>
      </c>
      <c r="P7" s="10">
        <v>0.27800000000000002</v>
      </c>
      <c r="Q7" s="10">
        <f t="shared" si="8"/>
        <v>0.12972401074354328</v>
      </c>
      <c r="R7" s="10">
        <f t="shared" si="9"/>
        <v>0.87027598925645666</v>
      </c>
      <c r="S7" s="9">
        <f t="shared" si="10"/>
        <v>7.141924323121455E-3</v>
      </c>
      <c r="T7" s="9">
        <f t="shared" si="11"/>
        <v>1.3632881491509532E-5</v>
      </c>
      <c r="U7" s="9">
        <f t="shared" si="12"/>
        <v>7.1555572046129636E-3</v>
      </c>
      <c r="V7" s="9">
        <v>5.764707428153007E-3</v>
      </c>
      <c r="W7" s="8">
        <f>(U7-V7)^2</f>
        <v>1.9344631006787112E-6</v>
      </c>
      <c r="Y7">
        <v>5</v>
      </c>
      <c r="Z7" s="10">
        <f>Z1</f>
        <v>5.1855209722079012</v>
      </c>
      <c r="AA7" s="10">
        <f>AA1</f>
        <v>9.3948462821799392</v>
      </c>
      <c r="AB7">
        <f t="shared" si="4"/>
        <v>6.5234753818363517E-6</v>
      </c>
      <c r="AC7">
        <f t="shared" si="4"/>
        <v>4.0285960058876319E-10</v>
      </c>
      <c r="AD7">
        <f t="shared" si="5"/>
        <v>1.0000000000000001E-5</v>
      </c>
      <c r="AE7" s="9">
        <v>0.26</v>
      </c>
      <c r="AF7" s="10">
        <f t="shared" si="13"/>
        <v>1.8766681202842039E-2</v>
      </c>
      <c r="AG7" s="10">
        <f t="shared" si="6"/>
        <v>0.98123331879715792</v>
      </c>
      <c r="AH7" s="9">
        <f t="shared" si="7"/>
        <v>1.9366418149021512E-3</v>
      </c>
      <c r="AI7">
        <v>4.0739337111169579E-3</v>
      </c>
      <c r="AJ7" s="8">
        <f>(AH7-AI7)^2</f>
        <v>4.5680166496254846E-6</v>
      </c>
    </row>
    <row r="8" spans="1:36" x14ac:dyDescent="0.3">
      <c r="B8" s="15" t="s">
        <v>78</v>
      </c>
      <c r="C8" s="15"/>
      <c r="D8" s="15"/>
      <c r="F8" s="9"/>
      <c r="G8" s="9"/>
      <c r="H8" s="13" t="s">
        <v>80</v>
      </c>
      <c r="J8">
        <v>5.5</v>
      </c>
      <c r="K8" s="10">
        <f>K1</f>
        <v>5.6074033271635644</v>
      </c>
      <c r="L8" s="10">
        <f>L1</f>
        <v>9.2490896653029964</v>
      </c>
      <c r="M8">
        <f t="shared" si="2"/>
        <v>2.4694297324482268E-6</v>
      </c>
      <c r="N8">
        <f t="shared" si="2"/>
        <v>5.6352129808601018E-10</v>
      </c>
      <c r="O8">
        <f t="shared" si="3"/>
        <v>3.1622776601683767E-6</v>
      </c>
      <c r="P8" s="10">
        <v>0.27800000000000002</v>
      </c>
      <c r="Q8" s="10">
        <f t="shared" si="8"/>
        <v>0.12972401074354328</v>
      </c>
      <c r="R8" s="10">
        <f t="shared" si="9"/>
        <v>0.87027598925645666</v>
      </c>
      <c r="S8" s="9">
        <f t="shared" si="10"/>
        <v>1.5813272475480797E-2</v>
      </c>
      <c r="T8" s="9">
        <f t="shared" si="11"/>
        <v>4.3105704495398401E-5</v>
      </c>
      <c r="U8" s="9">
        <f t="shared" si="12"/>
        <v>1.5856378179976198E-2</v>
      </c>
      <c r="V8" s="9"/>
      <c r="Y8">
        <v>5.5</v>
      </c>
      <c r="Z8" s="10">
        <f>Z1</f>
        <v>5.1855209722079012</v>
      </c>
      <c r="AA8" s="10">
        <f>AA1</f>
        <v>9.3948462821799392</v>
      </c>
      <c r="AB8">
        <f t="shared" si="4"/>
        <v>6.5234753818363517E-6</v>
      </c>
      <c r="AC8">
        <f t="shared" si="4"/>
        <v>4.0285960058876319E-10</v>
      </c>
      <c r="AD8">
        <f t="shared" si="5"/>
        <v>3.1622776601683767E-6</v>
      </c>
      <c r="AE8" s="9">
        <v>0.26</v>
      </c>
      <c r="AF8" s="10">
        <f t="shared" si="13"/>
        <v>1.8766681202842039E-2</v>
      </c>
      <c r="AG8" s="10">
        <f t="shared" si="6"/>
        <v>0.98123331879715792</v>
      </c>
      <c r="AH8" s="9">
        <f t="shared" si="7"/>
        <v>3.3187914105966393E-3</v>
      </c>
      <c r="AI8" s="9"/>
    </row>
    <row r="9" spans="1:36" x14ac:dyDescent="0.3">
      <c r="B9">
        <v>3.5</v>
      </c>
      <c r="C9">
        <v>0.18093035542165017</v>
      </c>
      <c r="D9">
        <v>3.574810465736223E-2</v>
      </c>
      <c r="E9">
        <v>56.4</v>
      </c>
      <c r="F9" s="9">
        <f>C9/E9</f>
        <v>3.2079850252065634E-3</v>
      </c>
      <c r="G9" s="9">
        <f>D9/E9</f>
        <v>6.3383164286103248E-4</v>
      </c>
      <c r="H9" s="9">
        <f>F14-F11</f>
        <v>0.25473900828731177</v>
      </c>
      <c r="I9">
        <f>MAX(G14,G9)</f>
        <v>1.4203871660637541E-2</v>
      </c>
      <c r="J9">
        <v>6</v>
      </c>
      <c r="K9" s="10">
        <f>K1</f>
        <v>5.6074033271635644</v>
      </c>
      <c r="L9" s="10">
        <f>L1</f>
        <v>9.2490896653029964</v>
      </c>
      <c r="M9">
        <f t="shared" si="2"/>
        <v>2.4694297324482268E-6</v>
      </c>
      <c r="N9">
        <f t="shared" si="2"/>
        <v>5.6352129808601018E-10</v>
      </c>
      <c r="O9">
        <f t="shared" si="3"/>
        <v>9.9999999999999995E-7</v>
      </c>
      <c r="P9" s="10">
        <v>0.27800000000000002</v>
      </c>
      <c r="Q9" s="10">
        <f t="shared" si="8"/>
        <v>0.12972401074354328</v>
      </c>
      <c r="R9" s="10">
        <f t="shared" si="9"/>
        <v>0.87027598925645666</v>
      </c>
      <c r="S9" s="9">
        <f t="shared" si="10"/>
        <v>2.5668692081791507E-2</v>
      </c>
      <c r="T9" s="9">
        <f t="shared" si="11"/>
        <v>1.362597120843395E-4</v>
      </c>
      <c r="U9" s="9">
        <f t="shared" si="12"/>
        <v>2.580495179387585E-2</v>
      </c>
      <c r="V9" s="9"/>
      <c r="Y9">
        <v>6</v>
      </c>
      <c r="Z9" s="10">
        <f>Z1</f>
        <v>5.1855209722079012</v>
      </c>
      <c r="AA9" s="10">
        <f>AA1</f>
        <v>9.3948462821799392</v>
      </c>
      <c r="AB9">
        <f t="shared" si="4"/>
        <v>6.5234753818363517E-6</v>
      </c>
      <c r="AC9">
        <f t="shared" si="4"/>
        <v>4.0285960058876319E-10</v>
      </c>
      <c r="AD9">
        <f t="shared" si="5"/>
        <v>9.9999999999999995E-7</v>
      </c>
      <c r="AE9" s="9">
        <v>0.26</v>
      </c>
      <c r="AF9" s="10">
        <f t="shared" si="13"/>
        <v>1.8766681202842039E-2</v>
      </c>
      <c r="AG9" s="10">
        <f t="shared" si="6"/>
        <v>0.98123331879715792</v>
      </c>
      <c r="AH9" s="9">
        <f t="shared" si="7"/>
        <v>4.333525240214158E-3</v>
      </c>
      <c r="AI9" s="9"/>
    </row>
    <row r="10" spans="1:36" x14ac:dyDescent="0.3">
      <c r="A10" t="s">
        <v>79</v>
      </c>
      <c r="B10">
        <v>5</v>
      </c>
      <c r="C10">
        <v>0.2448434160381292</v>
      </c>
      <c r="D10">
        <v>6.458160604612434E-2</v>
      </c>
      <c r="E10">
        <v>56.4</v>
      </c>
      <c r="F10" s="9">
        <f>C10/E10</f>
        <v>4.3411953198249859E-3</v>
      </c>
      <c r="G10" s="9">
        <f t="shared" ref="G10:G14" si="14">D10/E10</f>
        <v>1.1450639369880201E-3</v>
      </c>
      <c r="J10">
        <v>6.5</v>
      </c>
      <c r="K10" s="10">
        <f>K1</f>
        <v>5.6074033271635644</v>
      </c>
      <c r="L10" s="10">
        <f>L1</f>
        <v>9.2490896653029964</v>
      </c>
      <c r="M10">
        <f t="shared" si="2"/>
        <v>2.4694297324482268E-6</v>
      </c>
      <c r="N10">
        <f t="shared" si="2"/>
        <v>5.6352129808601018E-10</v>
      </c>
      <c r="O10">
        <f t="shared" si="3"/>
        <v>3.1622776601683734E-7</v>
      </c>
      <c r="P10" s="10">
        <v>0.27800000000000002</v>
      </c>
      <c r="Q10" s="10">
        <f t="shared" si="8"/>
        <v>0.12972401074354328</v>
      </c>
      <c r="R10" s="10">
        <f t="shared" si="9"/>
        <v>0.87027598925645666</v>
      </c>
      <c r="S10" s="9">
        <f t="shared" si="10"/>
        <v>3.196937295798094E-2</v>
      </c>
      <c r="T10" s="9">
        <f t="shared" si="11"/>
        <v>4.3036694124304461E-4</v>
      </c>
      <c r="U10" s="9">
        <f>P10*((Q10*(M10/(O10+M10)))+(R10*N10/(N10+O10)))</f>
        <v>3.2399739899223984E-2</v>
      </c>
      <c r="V10" s="9"/>
      <c r="X10" s="8"/>
      <c r="Y10">
        <v>6.5</v>
      </c>
      <c r="Z10" s="10">
        <f>Z1</f>
        <v>5.1855209722079012</v>
      </c>
      <c r="AA10" s="10">
        <f>AA1</f>
        <v>9.3948462821799392</v>
      </c>
      <c r="AB10">
        <f t="shared" si="4"/>
        <v>6.5234753818363517E-6</v>
      </c>
      <c r="AC10">
        <f t="shared" si="4"/>
        <v>4.0285960058876319E-10</v>
      </c>
      <c r="AD10">
        <f t="shared" si="5"/>
        <v>3.1622776601683734E-7</v>
      </c>
      <c r="AE10" s="9">
        <v>0.26</v>
      </c>
      <c r="AF10" s="10">
        <f t="shared" si="13"/>
        <v>1.8766681202842039E-2</v>
      </c>
      <c r="AG10" s="10">
        <f t="shared" si="6"/>
        <v>0.98123331879715792</v>
      </c>
      <c r="AH10" s="9">
        <f t="shared" si="7"/>
        <v>4.9783436205931633E-3</v>
      </c>
      <c r="AI10" s="9"/>
    </row>
    <row r="11" spans="1:36" x14ac:dyDescent="0.3">
      <c r="B11">
        <v>7</v>
      </c>
      <c r="C11">
        <v>0.29324816047560953</v>
      </c>
      <c r="D11">
        <v>6.7557785550525967E-2</v>
      </c>
      <c r="E11">
        <v>56.4</v>
      </c>
      <c r="F11" s="9">
        <f t="shared" ref="F11:F14" si="15">C11/E11</f>
        <v>5.1994354694257011E-3</v>
      </c>
      <c r="G11" s="9">
        <f t="shared" si="14"/>
        <v>1.1978330771369853E-3</v>
      </c>
      <c r="J11">
        <v>7</v>
      </c>
      <c r="K11" s="10">
        <f>K1</f>
        <v>5.6074033271635644</v>
      </c>
      <c r="L11" s="10">
        <f>L1</f>
        <v>9.2490896653029964</v>
      </c>
      <c r="M11">
        <f t="shared" si="2"/>
        <v>2.4694297324482268E-6</v>
      </c>
      <c r="N11">
        <f t="shared" si="2"/>
        <v>5.6352129808601018E-10</v>
      </c>
      <c r="O11">
        <f t="shared" si="3"/>
        <v>9.9999999999999995E-8</v>
      </c>
      <c r="P11" s="10">
        <v>0.27800000000000002</v>
      </c>
      <c r="Q11" s="10">
        <f t="shared" si="8"/>
        <v>0.12972401074354328</v>
      </c>
      <c r="R11" s="10">
        <f t="shared" si="9"/>
        <v>0.87027598925645666</v>
      </c>
      <c r="S11" s="9">
        <f t="shared" si="10"/>
        <v>3.4659723275160745E-2</v>
      </c>
      <c r="T11" s="9">
        <f t="shared" si="11"/>
        <v>1.355725173246941E-3</v>
      </c>
      <c r="U11" s="9">
        <f t="shared" si="12"/>
        <v>3.6015448448407691E-2</v>
      </c>
      <c r="V11" s="9">
        <v>3.0593678280388104E-2</v>
      </c>
      <c r="W11" s="8">
        <f>(U11-V11)^2</f>
        <v>2.9395591754827142E-5</v>
      </c>
      <c r="Y11">
        <v>7</v>
      </c>
      <c r="Z11" s="10">
        <f>Z1</f>
        <v>5.1855209722079012</v>
      </c>
      <c r="AA11" s="10">
        <f>AA1</f>
        <v>9.3948462821799392</v>
      </c>
      <c r="AB11">
        <f t="shared" si="4"/>
        <v>6.5234753818363517E-6</v>
      </c>
      <c r="AC11">
        <f t="shared" si="4"/>
        <v>4.0285960058876319E-10</v>
      </c>
      <c r="AD11">
        <f t="shared" si="5"/>
        <v>9.9999999999999995E-8</v>
      </c>
      <c r="AE11" s="9">
        <v>0.26</v>
      </c>
      <c r="AF11" s="10">
        <f t="shared" si="13"/>
        <v>1.8766681202842039E-2</v>
      </c>
      <c r="AG11" s="10">
        <f t="shared" si="6"/>
        <v>0.98123331879715792</v>
      </c>
      <c r="AH11" s="9">
        <f>AE11*((AF11*(AB11/(AD11+AB11)))+(AG11*AC11/(AC11+AD11)))</f>
        <v>5.8293239824159342E-3</v>
      </c>
      <c r="AI11">
        <v>4.8793371127389268E-3</v>
      </c>
      <c r="AJ11" s="8">
        <f>(AH11-AI11)^2</f>
        <v>9.0247505255871941E-7</v>
      </c>
    </row>
    <row r="12" spans="1:36" x14ac:dyDescent="0.3">
      <c r="B12">
        <v>9</v>
      </c>
      <c r="C12">
        <v>4.5185593957900423</v>
      </c>
      <c r="D12">
        <v>0.6685202905580343</v>
      </c>
      <c r="E12">
        <v>56.4</v>
      </c>
      <c r="F12" s="9">
        <f t="shared" si="15"/>
        <v>8.0116301343795077E-2</v>
      </c>
      <c r="G12" s="9">
        <f t="shared" si="14"/>
        <v>1.1853196641099899E-2</v>
      </c>
      <c r="J12">
        <v>7.5</v>
      </c>
      <c r="K12" s="10">
        <f>K1</f>
        <v>5.6074033271635644</v>
      </c>
      <c r="L12" s="10">
        <f>L1</f>
        <v>9.2490896653029964</v>
      </c>
      <c r="M12">
        <f t="shared" si="2"/>
        <v>2.4694297324482268E-6</v>
      </c>
      <c r="N12">
        <f t="shared" si="2"/>
        <v>5.6352129808601018E-10</v>
      </c>
      <c r="O12">
        <f t="shared" si="3"/>
        <v>3.1622776601683699E-8</v>
      </c>
      <c r="P12" s="10">
        <v>0.27800000000000002</v>
      </c>
      <c r="Q12" s="10">
        <f t="shared" si="8"/>
        <v>0.12972401074354328</v>
      </c>
      <c r="R12" s="10">
        <f t="shared" si="9"/>
        <v>0.87027598925645666</v>
      </c>
      <c r="S12" s="9">
        <f t="shared" si="10"/>
        <v>3.5607298599042991E-2</v>
      </c>
      <c r="T12" s="9">
        <f t="shared" si="11"/>
        <v>4.2358552002075877E-3</v>
      </c>
      <c r="U12" s="9">
        <f t="shared" si="12"/>
        <v>3.9843153799250582E-2</v>
      </c>
      <c r="V12" s="9"/>
      <c r="Y12">
        <v>7.5</v>
      </c>
      <c r="Z12" s="10">
        <f>Z1</f>
        <v>5.1855209722079012</v>
      </c>
      <c r="AA12" s="10">
        <f>AA1</f>
        <v>9.3948462821799392</v>
      </c>
      <c r="AB12">
        <f t="shared" si="4"/>
        <v>6.5234753818363517E-6</v>
      </c>
      <c r="AC12">
        <f t="shared" si="4"/>
        <v>4.0285960058876319E-10</v>
      </c>
      <c r="AD12">
        <f t="shared" si="5"/>
        <v>3.1622776601683699E-8</v>
      </c>
      <c r="AE12" s="9">
        <v>0.26</v>
      </c>
      <c r="AF12" s="10">
        <f t="shared" si="13"/>
        <v>1.8766681202842039E-2</v>
      </c>
      <c r="AG12" s="10">
        <f t="shared" si="6"/>
        <v>0.98123331879715792</v>
      </c>
      <c r="AH12" s="9">
        <f t="shared" si="7"/>
        <v>8.0650339506928449E-3</v>
      </c>
      <c r="AI12" s="9"/>
    </row>
    <row r="13" spans="1:36" x14ac:dyDescent="0.3">
      <c r="B13">
        <v>10</v>
      </c>
      <c r="C13">
        <v>11.233660301296426</v>
      </c>
      <c r="D13">
        <v>0.32921723274424625</v>
      </c>
      <c r="E13">
        <v>56.4</v>
      </c>
      <c r="F13" s="9">
        <f t="shared" si="15"/>
        <v>0.19917837413646147</v>
      </c>
      <c r="G13" s="9">
        <f t="shared" si="14"/>
        <v>5.8371849777348623E-3</v>
      </c>
      <c r="J13">
        <v>8</v>
      </c>
      <c r="K13" s="10">
        <f>K1</f>
        <v>5.6074033271635644</v>
      </c>
      <c r="L13" s="10">
        <f>L1</f>
        <v>9.2490896653029964</v>
      </c>
      <c r="M13">
        <f t="shared" si="2"/>
        <v>2.4694297324482268E-6</v>
      </c>
      <c r="N13">
        <f t="shared" si="2"/>
        <v>5.6352129808601018E-10</v>
      </c>
      <c r="O13">
        <f t="shared" si="3"/>
        <v>1E-8</v>
      </c>
      <c r="P13" s="10">
        <v>0.27800000000000002</v>
      </c>
      <c r="Q13" s="10">
        <f t="shared" si="8"/>
        <v>0.12972401074354328</v>
      </c>
      <c r="R13" s="10">
        <f t="shared" si="9"/>
        <v>0.87027598925645666</v>
      </c>
      <c r="S13" s="9">
        <f t="shared" si="10"/>
        <v>3.5917825109603278E-2</v>
      </c>
      <c r="T13" s="9">
        <f t="shared" si="11"/>
        <v>1.2906349453649768E-2</v>
      </c>
      <c r="U13" s="9">
        <f t="shared" si="12"/>
        <v>4.8824174563253039E-2</v>
      </c>
      <c r="V13" s="9"/>
      <c r="Y13">
        <v>8</v>
      </c>
      <c r="Z13" s="10">
        <f>Z1</f>
        <v>5.1855209722079012</v>
      </c>
      <c r="AA13" s="10">
        <f>AA1</f>
        <v>9.3948462821799392</v>
      </c>
      <c r="AB13">
        <f t="shared" si="4"/>
        <v>6.5234753818363517E-6</v>
      </c>
      <c r="AC13">
        <f t="shared" si="4"/>
        <v>4.0285960058876319E-10</v>
      </c>
      <c r="AD13">
        <f t="shared" si="5"/>
        <v>1E-8</v>
      </c>
      <c r="AE13" s="9">
        <v>0.26</v>
      </c>
      <c r="AF13" s="10">
        <f t="shared" si="13"/>
        <v>1.8766681202842039E-2</v>
      </c>
      <c r="AG13" s="10">
        <f t="shared" si="6"/>
        <v>0.98123331879715792</v>
      </c>
      <c r="AH13" s="9">
        <f t="shared" si="7"/>
        <v>1.4751633918409278E-2</v>
      </c>
      <c r="AI13" s="9"/>
    </row>
    <row r="14" spans="1:36" x14ac:dyDescent="0.3">
      <c r="A14" t="s">
        <v>111</v>
      </c>
      <c r="B14">
        <v>10.5</v>
      </c>
      <c r="C14">
        <v>14.660528227879992</v>
      </c>
      <c r="D14">
        <v>0.80109836165995729</v>
      </c>
      <c r="E14">
        <v>56.4</v>
      </c>
      <c r="F14" s="9">
        <f t="shared" si="15"/>
        <v>0.25993844375673747</v>
      </c>
      <c r="G14" s="9">
        <f t="shared" si="14"/>
        <v>1.4203871660637541E-2</v>
      </c>
      <c r="J14">
        <v>8.5</v>
      </c>
      <c r="K14" s="10">
        <f>K1</f>
        <v>5.6074033271635644</v>
      </c>
      <c r="L14" s="10">
        <f>L1</f>
        <v>9.2490896653029964</v>
      </c>
      <c r="M14">
        <f t="shared" si="2"/>
        <v>2.4694297324482268E-6</v>
      </c>
      <c r="N14">
        <f t="shared" si="2"/>
        <v>5.6352129808601018E-10</v>
      </c>
      <c r="O14">
        <f t="shared" si="3"/>
        <v>3.1622776601683779E-9</v>
      </c>
      <c r="P14" s="10">
        <v>0.27800000000000002</v>
      </c>
      <c r="Q14" s="10">
        <f t="shared" si="8"/>
        <v>0.12972401074354328</v>
      </c>
      <c r="R14" s="10">
        <f t="shared" si="9"/>
        <v>0.87027598925645666</v>
      </c>
      <c r="S14" s="9">
        <f t="shared" si="10"/>
        <v>3.6017152501322591E-2</v>
      </c>
      <c r="T14" s="9">
        <f t="shared" si="11"/>
        <v>3.6592553399082614E-2</v>
      </c>
      <c r="U14" s="9">
        <f t="shared" si="12"/>
        <v>7.2609705900405205E-2</v>
      </c>
      <c r="V14" s="9"/>
      <c r="X14" s="8"/>
      <c r="Y14">
        <v>8.5</v>
      </c>
      <c r="Z14" s="10">
        <f>Z1</f>
        <v>5.1855209722079012</v>
      </c>
      <c r="AA14" s="10">
        <f>AA1</f>
        <v>9.3948462821799392</v>
      </c>
      <c r="AB14">
        <f t="shared" si="4"/>
        <v>6.5234753818363517E-6</v>
      </c>
      <c r="AC14">
        <f t="shared" si="4"/>
        <v>4.0285960058876319E-10</v>
      </c>
      <c r="AD14">
        <f t="shared" si="5"/>
        <v>3.1622776601683779E-9</v>
      </c>
      <c r="AE14" s="9">
        <v>0.26</v>
      </c>
      <c r="AF14" s="10">
        <f t="shared" si="13"/>
        <v>1.8766681202842039E-2</v>
      </c>
      <c r="AG14" s="10">
        <f t="shared" si="6"/>
        <v>0.98123331879715792</v>
      </c>
      <c r="AH14" s="9">
        <f t="shared" si="7"/>
        <v>3.3705542778533826E-2</v>
      </c>
      <c r="AI14" s="9"/>
    </row>
    <row r="15" spans="1:36" x14ac:dyDescent="0.3">
      <c r="B15" s="15" t="s">
        <v>77</v>
      </c>
      <c r="C15" s="15"/>
      <c r="D15" s="15"/>
      <c r="F15" s="9"/>
      <c r="G15" s="9"/>
      <c r="H15" s="13" t="s">
        <v>80</v>
      </c>
      <c r="J15">
        <v>9</v>
      </c>
      <c r="K15" s="10">
        <f>K1</f>
        <v>5.6074033271635644</v>
      </c>
      <c r="L15" s="10">
        <f>L1</f>
        <v>9.2490896653029964</v>
      </c>
      <c r="M15">
        <f t="shared" si="2"/>
        <v>2.4694297324482268E-6</v>
      </c>
      <c r="N15">
        <f t="shared" si="2"/>
        <v>5.6352129808601018E-10</v>
      </c>
      <c r="O15">
        <f t="shared" si="3"/>
        <v>1.0000000000000001E-9</v>
      </c>
      <c r="P15" s="10">
        <v>0.27800000000000002</v>
      </c>
      <c r="Q15" s="10">
        <f t="shared" si="8"/>
        <v>0.12972401074354328</v>
      </c>
      <c r="R15" s="10">
        <f t="shared" si="9"/>
        <v>0.87027598925645666</v>
      </c>
      <c r="S15" s="9">
        <f t="shared" si="10"/>
        <v>3.6048677010282949E-2</v>
      </c>
      <c r="T15" s="9">
        <f t="shared" si="11"/>
        <v>8.7198362760434939E-2</v>
      </c>
      <c r="U15" s="9">
        <f t="shared" si="12"/>
        <v>0.12324703977071789</v>
      </c>
      <c r="V15" s="9">
        <v>9.2188323952935997E-2</v>
      </c>
      <c r="W15" s="8">
        <f>(U15-V15)^2</f>
        <v>9.6464382824973545E-4</v>
      </c>
      <c r="Y15">
        <v>9</v>
      </c>
      <c r="Z15" s="10">
        <f>Z1</f>
        <v>5.1855209722079012</v>
      </c>
      <c r="AA15" s="10">
        <f>AA1</f>
        <v>9.3948462821799392</v>
      </c>
      <c r="AB15">
        <f t="shared" si="4"/>
        <v>6.5234753818363517E-6</v>
      </c>
      <c r="AC15">
        <f t="shared" si="4"/>
        <v>4.0285960058876319E-10</v>
      </c>
      <c r="AD15">
        <f t="shared" si="5"/>
        <v>1.0000000000000001E-9</v>
      </c>
      <c r="AE15" s="9">
        <v>0.26</v>
      </c>
      <c r="AF15" s="10">
        <f t="shared" si="13"/>
        <v>1.8766681202842039E-2</v>
      </c>
      <c r="AG15" s="10">
        <f t="shared" si="6"/>
        <v>0.98123331879715792</v>
      </c>
      <c r="AH15" s="9">
        <f t="shared" si="7"/>
        <v>7.8141664418517234E-2</v>
      </c>
      <c r="AI15">
        <v>7.5184016568885889E-2</v>
      </c>
      <c r="AJ15" s="8">
        <f>(AH15-AI15)^2</f>
        <v>8.7476808024289203E-6</v>
      </c>
    </row>
    <row r="16" spans="1:36" x14ac:dyDescent="0.3">
      <c r="B16">
        <v>3.5</v>
      </c>
      <c r="C16">
        <v>0.28572897687367083</v>
      </c>
      <c r="D16">
        <v>6.436608770297679E-2</v>
      </c>
      <c r="E16">
        <v>111.5</v>
      </c>
      <c r="F16" s="9">
        <f>C16/E16</f>
        <v>2.5625917208400972E-3</v>
      </c>
      <c r="G16" s="9">
        <f>D16/E16</f>
        <v>5.7727432917467972E-4</v>
      </c>
      <c r="H16" s="9">
        <f>F21-F18</f>
        <v>0.23653260279414931</v>
      </c>
      <c r="I16">
        <f>MAX(G21,G16)</f>
        <v>1.7684570799168377E-2</v>
      </c>
      <c r="J16">
        <v>9.5</v>
      </c>
      <c r="K16" s="10">
        <f>K1</f>
        <v>5.6074033271635644</v>
      </c>
      <c r="L16" s="10">
        <f>L1</f>
        <v>9.2490896653029964</v>
      </c>
      <c r="M16">
        <f t="shared" si="2"/>
        <v>2.4694297324482268E-6</v>
      </c>
      <c r="N16">
        <f t="shared" si="2"/>
        <v>5.6352129808601018E-10</v>
      </c>
      <c r="O16">
        <f t="shared" si="3"/>
        <v>3.1622776601683744E-10</v>
      </c>
      <c r="P16" s="10">
        <v>0.27800000000000002</v>
      </c>
      <c r="Q16" s="10">
        <f t="shared" si="8"/>
        <v>0.12972401074354328</v>
      </c>
      <c r="R16" s="10">
        <f t="shared" si="9"/>
        <v>0.87027598925645666</v>
      </c>
      <c r="S16" s="9">
        <f t="shared" si="10"/>
        <v>3.6058657423170971E-2</v>
      </c>
      <c r="T16" s="9">
        <f t="shared" si="11"/>
        <v>0.15497202884006883</v>
      </c>
      <c r="U16" s="9">
        <f t="shared" si="12"/>
        <v>0.1910306862632398</v>
      </c>
      <c r="V16" s="9"/>
      <c r="X16" s="8"/>
      <c r="Y16">
        <v>9.5</v>
      </c>
      <c r="Z16" s="10">
        <f>Z1</f>
        <v>5.1855209722079012</v>
      </c>
      <c r="AA16" s="10">
        <f>AA1</f>
        <v>9.3948462821799392</v>
      </c>
      <c r="AB16">
        <f t="shared" si="4"/>
        <v>6.5234753818363517E-6</v>
      </c>
      <c r="AC16">
        <f t="shared" si="4"/>
        <v>4.0285960058876319E-10</v>
      </c>
      <c r="AD16">
        <f t="shared" si="5"/>
        <v>3.1622776601683744E-10</v>
      </c>
      <c r="AE16" s="9">
        <v>0.26</v>
      </c>
      <c r="AF16" s="10">
        <f t="shared" si="13"/>
        <v>1.8766681202842039E-2</v>
      </c>
      <c r="AG16" s="10">
        <f t="shared" si="6"/>
        <v>0.98123331879715792</v>
      </c>
      <c r="AH16" s="9">
        <f t="shared" si="7"/>
        <v>0.14780722466846591</v>
      </c>
      <c r="AI16" s="9"/>
    </row>
    <row r="17" spans="1:36" x14ac:dyDescent="0.3">
      <c r="A17" t="s">
        <v>79</v>
      </c>
      <c r="B17">
        <v>5</v>
      </c>
      <c r="C17">
        <v>0.5019055054294087</v>
      </c>
      <c r="D17">
        <v>0.1021436305607927</v>
      </c>
      <c r="E17">
        <v>111.5</v>
      </c>
      <c r="F17" s="9">
        <f t="shared" ref="F17:F20" si="16">C17/E17</f>
        <v>4.5013946675283292E-3</v>
      </c>
      <c r="G17" s="9">
        <f t="shared" ref="G17:G21" si="17">D17/E17</f>
        <v>9.160863727425355E-4</v>
      </c>
      <c r="J17">
        <v>10</v>
      </c>
      <c r="K17" s="10">
        <f>K1</f>
        <v>5.6074033271635644</v>
      </c>
      <c r="L17" s="10">
        <f>L1</f>
        <v>9.2490896653029964</v>
      </c>
      <c r="M17">
        <f t="shared" si="2"/>
        <v>2.4694297324482268E-6</v>
      </c>
      <c r="N17">
        <f t="shared" si="2"/>
        <v>5.6352129808601018E-10</v>
      </c>
      <c r="O17">
        <f t="shared" si="3"/>
        <v>1E-10</v>
      </c>
      <c r="P17" s="10">
        <v>0.27800000000000002</v>
      </c>
      <c r="Q17" s="10">
        <f t="shared" si="8"/>
        <v>0.12972401074354328</v>
      </c>
      <c r="R17" s="10">
        <f t="shared" si="9"/>
        <v>0.87027598925645666</v>
      </c>
      <c r="S17" s="9">
        <f t="shared" si="10"/>
        <v>3.6061814657051466E-2</v>
      </c>
      <c r="T17" s="9">
        <f t="shared" si="11"/>
        <v>0.20547418406529766</v>
      </c>
      <c r="U17" s="9">
        <f t="shared" si="12"/>
        <v>0.24153599872234913</v>
      </c>
      <c r="V17" s="9">
        <v>0.25085876291968007</v>
      </c>
      <c r="W17" s="8">
        <f>(U17-V17)^2</f>
        <v>8.6913932279035613E-5</v>
      </c>
      <c r="X17" s="8"/>
      <c r="Y17">
        <v>10</v>
      </c>
      <c r="Z17" s="10">
        <f>Z1</f>
        <v>5.1855209722079012</v>
      </c>
      <c r="AA17" s="10">
        <f>AA1</f>
        <v>9.3948462821799392</v>
      </c>
      <c r="AB17">
        <f t="shared" si="4"/>
        <v>6.5234753818363517E-6</v>
      </c>
      <c r="AC17">
        <f t="shared" si="4"/>
        <v>4.0285960058876319E-10</v>
      </c>
      <c r="AD17">
        <f t="shared" si="5"/>
        <v>1E-10</v>
      </c>
      <c r="AE17" s="9">
        <v>0.26</v>
      </c>
      <c r="AF17" s="10">
        <f t="shared" si="13"/>
        <v>1.8766681202842039E-2</v>
      </c>
      <c r="AG17" s="10">
        <f t="shared" si="6"/>
        <v>0.98123331879715792</v>
      </c>
      <c r="AH17" s="9">
        <f t="shared" si="7"/>
        <v>0.20926595043534535</v>
      </c>
      <c r="AI17">
        <v>0.1869161447803066</v>
      </c>
      <c r="AJ17" s="8">
        <f>(AH17-AI17)^2</f>
        <v>4.9951381281800186E-4</v>
      </c>
    </row>
    <row r="18" spans="1:36" x14ac:dyDescent="0.3">
      <c r="B18">
        <v>7</v>
      </c>
      <c r="C18">
        <v>0.78481478845235253</v>
      </c>
      <c r="D18">
        <v>0.24124483694145538</v>
      </c>
      <c r="E18">
        <v>111.5</v>
      </c>
      <c r="F18" s="9">
        <f t="shared" si="16"/>
        <v>7.0386976542811883E-3</v>
      </c>
      <c r="G18" s="9">
        <f t="shared" si="17"/>
        <v>2.1636308245870438E-3</v>
      </c>
      <c r="J18">
        <v>10.5</v>
      </c>
      <c r="K18" s="10">
        <f>K1</f>
        <v>5.6074033271635644</v>
      </c>
      <c r="L18" s="10">
        <f>L1</f>
        <v>9.2490896653029964</v>
      </c>
      <c r="M18">
        <f t="shared" si="2"/>
        <v>2.4694297324482268E-6</v>
      </c>
      <c r="N18">
        <f t="shared" si="2"/>
        <v>5.6352129808601018E-10</v>
      </c>
      <c r="O18">
        <f t="shared" si="3"/>
        <v>3.162277660168371E-11</v>
      </c>
      <c r="P18" s="10">
        <v>0.27800000000000002</v>
      </c>
      <c r="Q18" s="10">
        <f t="shared" si="8"/>
        <v>0.12972401074354328</v>
      </c>
      <c r="R18" s="10">
        <f t="shared" si="9"/>
        <v>0.87027598925645666</v>
      </c>
      <c r="S18" s="9">
        <f t="shared" si="10"/>
        <v>3.6062813177134286E-2</v>
      </c>
      <c r="T18" s="9">
        <f t="shared" si="11"/>
        <v>0.2290814999808469</v>
      </c>
      <c r="U18" s="9">
        <f t="shared" si="12"/>
        <v>0.2651443131579812</v>
      </c>
      <c r="V18" s="9">
        <v>0.2361650249642249</v>
      </c>
      <c r="W18" s="8">
        <f>(U18-V18)^2</f>
        <v>8.3979914421678382E-4</v>
      </c>
      <c r="Y18">
        <v>10.5</v>
      </c>
      <c r="Z18" s="10">
        <f>Z1</f>
        <v>5.1855209722079012</v>
      </c>
      <c r="AA18" s="10">
        <f>AA1</f>
        <v>9.3948462821799392</v>
      </c>
      <c r="AB18">
        <f t="shared" si="4"/>
        <v>6.5234753818363517E-6</v>
      </c>
      <c r="AC18">
        <f t="shared" si="4"/>
        <v>4.0285960058876319E-10</v>
      </c>
      <c r="AD18">
        <f t="shared" si="5"/>
        <v>3.162277660168371E-11</v>
      </c>
      <c r="AE18" s="9">
        <v>0.26</v>
      </c>
      <c r="AF18" s="10">
        <f t="shared" si="13"/>
        <v>1.8766681202842039E-2</v>
      </c>
      <c r="AG18" s="10">
        <f t="shared" si="6"/>
        <v>0.98123331879715792</v>
      </c>
      <c r="AH18" s="9">
        <f t="shared" si="7"/>
        <v>0.24143161971773613</v>
      </c>
      <c r="AI18">
        <v>0.24393557783494163</v>
      </c>
      <c r="AJ18" s="8">
        <f>(AH18-AI18)^2</f>
        <v>6.2698062527192918E-6</v>
      </c>
    </row>
    <row r="19" spans="1:36" x14ac:dyDescent="0.3">
      <c r="B19">
        <v>9</v>
      </c>
      <c r="C19">
        <v>7.2865588592537298</v>
      </c>
      <c r="D19">
        <v>0.93066666907176399</v>
      </c>
      <c r="E19">
        <v>111.5</v>
      </c>
      <c r="F19" s="9">
        <f t="shared" si="16"/>
        <v>6.5350303670437038E-2</v>
      </c>
      <c r="G19" s="9">
        <f t="shared" si="17"/>
        <v>8.3467862697019189E-3</v>
      </c>
      <c r="J19">
        <v>11</v>
      </c>
      <c r="K19" s="10">
        <f>K1</f>
        <v>5.6074033271635644</v>
      </c>
      <c r="L19" s="10">
        <f>L1</f>
        <v>9.2490896653029964</v>
      </c>
      <c r="M19">
        <f t="shared" si="2"/>
        <v>2.4694297324482268E-6</v>
      </c>
      <c r="N19">
        <f t="shared" si="2"/>
        <v>5.6352129808601018E-10</v>
      </c>
      <c r="O19">
        <f t="shared" si="3"/>
        <v>9.9999999999999994E-12</v>
      </c>
      <c r="P19" s="10">
        <v>0.27800000000000002</v>
      </c>
      <c r="Q19" s="10">
        <f t="shared" si="8"/>
        <v>0.12972401074354328</v>
      </c>
      <c r="R19" s="10">
        <f t="shared" si="9"/>
        <v>0.87027598925645666</v>
      </c>
      <c r="S19" s="9">
        <f t="shared" si="10"/>
        <v>3.6063128948417435E-2</v>
      </c>
      <c r="T19" s="9">
        <f t="shared" si="11"/>
        <v>0.23771828141197276</v>
      </c>
      <c r="U19" s="9">
        <f t="shared" si="12"/>
        <v>0.27378141036039022</v>
      </c>
      <c r="X19" s="8"/>
      <c r="Y19">
        <v>11</v>
      </c>
      <c r="Z19" s="10">
        <f>Z1</f>
        <v>5.1855209722079012</v>
      </c>
      <c r="AA19" s="10">
        <f>AA1</f>
        <v>9.3948462821799392</v>
      </c>
      <c r="AB19">
        <f t="shared" si="4"/>
        <v>6.5234753818363517E-6</v>
      </c>
      <c r="AC19">
        <f t="shared" si="4"/>
        <v>4.0285960058876319E-10</v>
      </c>
      <c r="AD19">
        <f t="shared" si="5"/>
        <v>9.9999999999999994E-12</v>
      </c>
      <c r="AE19" s="9">
        <v>0.26</v>
      </c>
      <c r="AF19" s="10">
        <f t="shared" si="13"/>
        <v>1.8766681202842039E-2</v>
      </c>
      <c r="AG19" s="10">
        <f t="shared" si="6"/>
        <v>0.98123331879715792</v>
      </c>
      <c r="AH19" s="9">
        <f t="shared" si="7"/>
        <v>0.25382063608723471</v>
      </c>
      <c r="AI19" s="9"/>
    </row>
    <row r="20" spans="1:36" x14ac:dyDescent="0.3">
      <c r="B20">
        <v>10</v>
      </c>
      <c r="C20">
        <v>15.914352093503275</v>
      </c>
      <c r="D20">
        <v>1.040700994246224</v>
      </c>
      <c r="E20">
        <v>111.5</v>
      </c>
      <c r="F20" s="9">
        <f t="shared" si="16"/>
        <v>0.14272961518837018</v>
      </c>
      <c r="G20" s="9">
        <f t="shared" si="17"/>
        <v>9.3336412040020082E-3</v>
      </c>
      <c r="J20">
        <v>11.5</v>
      </c>
      <c r="K20" s="10">
        <f>K1</f>
        <v>5.6074033271635644</v>
      </c>
      <c r="L20" s="10">
        <f>L1</f>
        <v>9.2490896653029964</v>
      </c>
      <c r="M20">
        <f t="shared" si="2"/>
        <v>2.4694297324482268E-6</v>
      </c>
      <c r="N20">
        <f t="shared" si="2"/>
        <v>5.6352129808601018E-10</v>
      </c>
      <c r="O20">
        <f t="shared" si="3"/>
        <v>3.1622776601683669E-12</v>
      </c>
      <c r="P20" s="10">
        <v>0.27800000000000002</v>
      </c>
      <c r="Q20" s="10">
        <f t="shared" si="8"/>
        <v>0.12972401074354328</v>
      </c>
      <c r="R20" s="10">
        <f t="shared" si="9"/>
        <v>0.87027598925645666</v>
      </c>
      <c r="S20" s="9">
        <f t="shared" si="10"/>
        <v>3.6063228805215723E-2</v>
      </c>
      <c r="T20" s="9">
        <f t="shared" si="11"/>
        <v>0.24058663982743717</v>
      </c>
      <c r="U20" s="9">
        <f t="shared" si="12"/>
        <v>0.2766498686326529</v>
      </c>
      <c r="W20" s="8"/>
      <c r="Y20">
        <v>11.5</v>
      </c>
      <c r="Z20" s="10">
        <f>Z1</f>
        <v>5.1855209722079012</v>
      </c>
      <c r="AA20" s="10">
        <f>AA1</f>
        <v>9.3948462821799392</v>
      </c>
      <c r="AB20">
        <f t="shared" si="4"/>
        <v>6.5234753818363517E-6</v>
      </c>
      <c r="AC20">
        <f t="shared" si="4"/>
        <v>4.0285960058876319E-10</v>
      </c>
      <c r="AD20">
        <f t="shared" si="5"/>
        <v>3.1622776601683669E-12</v>
      </c>
      <c r="AE20" s="9">
        <v>0.26</v>
      </c>
      <c r="AF20" s="10">
        <f t="shared" si="13"/>
        <v>1.8766681202842039E-2</v>
      </c>
      <c r="AG20" s="10">
        <f t="shared" si="6"/>
        <v>0.98123331879715792</v>
      </c>
      <c r="AH20" s="9">
        <f t="shared" si="7"/>
        <v>0.25801300526777432</v>
      </c>
      <c r="AI20" s="9"/>
      <c r="AJ20" s="8"/>
    </row>
    <row r="21" spans="1:36" x14ac:dyDescent="0.3">
      <c r="A21" t="s">
        <v>111</v>
      </c>
      <c r="B21">
        <v>10.5</v>
      </c>
      <c r="C21">
        <v>27.158200000000001</v>
      </c>
      <c r="D21">
        <v>1.9718296441072742</v>
      </c>
      <c r="E21">
        <v>111.5</v>
      </c>
      <c r="F21" s="9">
        <f>C21/E21</f>
        <v>0.24357130044843051</v>
      </c>
      <c r="G21" s="9">
        <f t="shared" si="17"/>
        <v>1.7684570799168377E-2</v>
      </c>
      <c r="J21">
        <v>12</v>
      </c>
      <c r="K21" s="10">
        <f>K1</f>
        <v>5.6074033271635644</v>
      </c>
      <c r="L21" s="10">
        <f>L1</f>
        <v>9.2490896653029964</v>
      </c>
      <c r="M21">
        <f t="shared" si="2"/>
        <v>2.4694297324482268E-6</v>
      </c>
      <c r="N21">
        <f t="shared" si="2"/>
        <v>5.6352129808601018E-10</v>
      </c>
      <c r="O21">
        <f t="shared" si="3"/>
        <v>9.9999999999999998E-13</v>
      </c>
      <c r="P21" s="10">
        <v>0.27800000000000002</v>
      </c>
      <c r="Q21" s="10">
        <f t="shared" si="8"/>
        <v>0.12972401074354328</v>
      </c>
      <c r="R21" s="10">
        <f t="shared" si="9"/>
        <v>0.87027598925645666</v>
      </c>
      <c r="S21" s="9">
        <f t="shared" si="10"/>
        <v>3.6063260382823058E-2</v>
      </c>
      <c r="T21" s="9">
        <f t="shared" si="11"/>
        <v>0.24150815531037401</v>
      </c>
      <c r="U21" s="9">
        <f t="shared" si="12"/>
        <v>0.2775714156931971</v>
      </c>
      <c r="W21" s="11" t="s">
        <v>108</v>
      </c>
      <c r="Y21">
        <v>12</v>
      </c>
      <c r="Z21" s="10">
        <f>Z1</f>
        <v>5.1855209722079012</v>
      </c>
      <c r="AA21" s="10">
        <f>AA1</f>
        <v>9.3948462821799392</v>
      </c>
      <c r="AB21">
        <f t="shared" si="4"/>
        <v>6.5234753818363517E-6</v>
      </c>
      <c r="AC21">
        <f t="shared" si="4"/>
        <v>4.0285960058876319E-10</v>
      </c>
      <c r="AD21">
        <f t="shared" si="5"/>
        <v>9.9999999999999998E-13</v>
      </c>
      <c r="AE21" s="9">
        <v>0.26</v>
      </c>
      <c r="AF21" s="10">
        <f t="shared" si="13"/>
        <v>1.8766681202842039E-2</v>
      </c>
      <c r="AG21" s="10">
        <f t="shared" si="6"/>
        <v>0.98123331879715792</v>
      </c>
      <c r="AH21" s="9">
        <f t="shared" si="7"/>
        <v>0.25936829293004676</v>
      </c>
      <c r="AI21" s="9"/>
      <c r="AJ21" s="11" t="s">
        <v>108</v>
      </c>
    </row>
    <row r="22" spans="1:36" x14ac:dyDescent="0.3">
      <c r="B22" s="15" t="s">
        <v>75</v>
      </c>
      <c r="C22" s="15"/>
      <c r="D22" s="15"/>
      <c r="F22" s="9"/>
      <c r="G22" s="9"/>
      <c r="H22" s="13" t="s">
        <v>80</v>
      </c>
      <c r="W22" s="12">
        <f>SUM(W4:W18)</f>
        <v>1.9755492470972455E-3</v>
      </c>
      <c r="AJ22" s="12">
        <f>SUM(AJ4:AJ18)</f>
        <v>5.2847886756098386E-4</v>
      </c>
    </row>
    <row r="23" spans="1:36" x14ac:dyDescent="0.3">
      <c r="B23">
        <v>3.5</v>
      </c>
      <c r="C23">
        <v>0.4450886743372594</v>
      </c>
      <c r="D23">
        <v>4.1633288694905519E-2</v>
      </c>
      <c r="E23">
        <v>13.2</v>
      </c>
      <c r="F23" s="9">
        <f>C23/E23</f>
        <v>3.3718838964943897E-2</v>
      </c>
      <c r="G23" s="9">
        <f>D23/E23</f>
        <v>3.1540370223413273E-3</v>
      </c>
      <c r="H23" s="9">
        <f>0.367-F25</f>
        <v>0.2131985172330719</v>
      </c>
      <c r="I23">
        <f>MAX(G28,G23)</f>
        <v>7.250271428069382E-3</v>
      </c>
      <c r="J23" s="11" t="s">
        <v>109</v>
      </c>
      <c r="K23" s="10">
        <v>4.4879289322119522</v>
      </c>
      <c r="L23" s="10">
        <v>9.5398482890680061</v>
      </c>
      <c r="W23" s="12"/>
      <c r="Y23" s="11" t="s">
        <v>109</v>
      </c>
      <c r="Z23" s="10">
        <v>4.6764641489024328</v>
      </c>
      <c r="AA23" s="10">
        <v>9.4167166088466949</v>
      </c>
      <c r="AJ23" s="12"/>
    </row>
    <row r="24" spans="1:36" x14ac:dyDescent="0.3">
      <c r="A24" t="s">
        <v>79</v>
      </c>
      <c r="B24">
        <v>5</v>
      </c>
      <c r="C24">
        <v>1.2914197836329726</v>
      </c>
      <c r="D24">
        <v>4.1504769676460104E-3</v>
      </c>
      <c r="E24">
        <v>13.2</v>
      </c>
      <c r="F24" s="9">
        <f t="shared" ref="F24:F28" si="18">C24/E24</f>
        <v>9.7834832093407015E-2</v>
      </c>
      <c r="G24" s="9">
        <f t="shared" ref="G24:G28" si="19">D24/E24</f>
        <v>3.1443007330651595E-4</v>
      </c>
      <c r="J24" s="14" t="s">
        <v>77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7"/>
      <c r="Y24" s="14" t="s">
        <v>75</v>
      </c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6" x14ac:dyDescent="0.3">
      <c r="B25">
        <v>7</v>
      </c>
      <c r="C25">
        <v>2.0301795725234508</v>
      </c>
      <c r="D25">
        <v>0.1252200186885451</v>
      </c>
      <c r="E25">
        <v>13.2</v>
      </c>
      <c r="F25" s="9">
        <f t="shared" si="18"/>
        <v>0.15380148276692809</v>
      </c>
      <c r="G25" s="9">
        <f t="shared" si="19"/>
        <v>9.4863650521625088E-3</v>
      </c>
      <c r="J25" t="s">
        <v>65</v>
      </c>
      <c r="K25" t="s">
        <v>79</v>
      </c>
      <c r="L25" t="s">
        <v>80</v>
      </c>
      <c r="M25" t="s">
        <v>81</v>
      </c>
      <c r="N25" t="s">
        <v>82</v>
      </c>
      <c r="O25" t="s">
        <v>83</v>
      </c>
      <c r="P25" t="s">
        <v>84</v>
      </c>
      <c r="Q25" t="s">
        <v>85</v>
      </c>
      <c r="R25" t="s">
        <v>86</v>
      </c>
      <c r="U25" t="s">
        <v>87</v>
      </c>
      <c r="V25" t="s">
        <v>106</v>
      </c>
      <c r="W25" t="s">
        <v>107</v>
      </c>
      <c r="Y25" t="s">
        <v>65</v>
      </c>
      <c r="Z25" t="s">
        <v>79</v>
      </c>
      <c r="AA25" t="s">
        <v>80</v>
      </c>
      <c r="AB25" t="s">
        <v>81</v>
      </c>
      <c r="AC25" t="s">
        <v>82</v>
      </c>
      <c r="AD25" t="s">
        <v>83</v>
      </c>
      <c r="AE25" t="s">
        <v>84</v>
      </c>
      <c r="AF25" t="s">
        <v>85</v>
      </c>
      <c r="AG25" t="s">
        <v>86</v>
      </c>
      <c r="AH25" t="s">
        <v>87</v>
      </c>
      <c r="AI25" t="s">
        <v>106</v>
      </c>
      <c r="AJ25" t="s">
        <v>107</v>
      </c>
    </row>
    <row r="26" spans="1:36" x14ac:dyDescent="0.3">
      <c r="B26">
        <v>9</v>
      </c>
      <c r="C26">
        <v>1.6053456990139137</v>
      </c>
      <c r="D26">
        <v>9.6285652629400698E-2</v>
      </c>
      <c r="E26">
        <v>13.2</v>
      </c>
      <c r="F26" s="9">
        <f t="shared" si="18"/>
        <v>0.12161709841014498</v>
      </c>
      <c r="G26" s="9">
        <f t="shared" si="19"/>
        <v>7.2943676234394472E-3</v>
      </c>
      <c r="J26">
        <v>3.5</v>
      </c>
      <c r="K26" s="10">
        <f>K23</f>
        <v>4.4879289322119522</v>
      </c>
      <c r="L26" s="10">
        <f>L23</f>
        <v>9.5398482890680061</v>
      </c>
      <c r="M26">
        <f t="shared" ref="M26:N43" si="20">10^-K26</f>
        <v>3.2514049890310423E-5</v>
      </c>
      <c r="N26">
        <f t="shared" si="20"/>
        <v>2.8850391501416097E-10</v>
      </c>
      <c r="O26">
        <f t="shared" ref="O26:O43" si="21">10^-J26</f>
        <v>3.1622776601683783E-4</v>
      </c>
      <c r="P26" s="10">
        <v>0.24357000000000001</v>
      </c>
      <c r="Q26" s="10">
        <f t="shared" ref="Q26:Q43" si="22">F$18/P26</f>
        <v>2.8898048422552811E-2</v>
      </c>
      <c r="R26" s="10">
        <f t="shared" ref="R26:R43" si="23">1-Q26</f>
        <v>0.97110195157744716</v>
      </c>
      <c r="S26" s="9">
        <f>$P26*(($Q26*($M26/($O26+$M26))))</f>
        <v>6.5623494589774718E-4</v>
      </c>
      <c r="T26" s="9">
        <f>$P26*(($R26*$N26/($N26+$O26)))</f>
        <v>2.1579428445574468E-7</v>
      </c>
      <c r="U26" s="9">
        <f t="shared" ref="U26:U43" si="24">P26*((Q26*(M26/(O26+M26)))+(R26*N26/(N26+O26)))</f>
        <v>6.564507401822029E-4</v>
      </c>
      <c r="V26" s="9">
        <v>2.5174359195918134E-3</v>
      </c>
      <c r="W26" s="8">
        <f>(U26-V26)^2</f>
        <v>3.4632658379822203E-6</v>
      </c>
      <c r="Y26">
        <v>3.5</v>
      </c>
      <c r="Z26" s="10">
        <f>Z23</f>
        <v>4.6764641489024328</v>
      </c>
      <c r="AA26" s="10">
        <f>AA23</f>
        <v>9.4167166088466949</v>
      </c>
      <c r="AB26">
        <f t="shared" ref="AB26:AC43" si="25">10^-Z26</f>
        <v>2.1063757735617898E-5</v>
      </c>
      <c r="AC26">
        <f t="shared" si="25"/>
        <v>3.8307463032685189E-10</v>
      </c>
      <c r="AD26">
        <f t="shared" ref="AD26:AD43" si="26">10^-Y26</f>
        <v>3.1622776601683783E-4</v>
      </c>
      <c r="AE26" s="9">
        <v>0.36699999999999999</v>
      </c>
      <c r="AF26" s="10">
        <v>0.38</v>
      </c>
      <c r="AG26" s="10">
        <f t="shared" ref="AG26:AG43" si="27">1-AF26</f>
        <v>0.62</v>
      </c>
      <c r="AH26" s="9">
        <f t="shared" ref="AH26:AH43" si="28">AE26*((AF26*(AB26/(AD26+AB26)))+(AG26*AC26/(AC26+AD26)))</f>
        <v>8.7095121508406134E-3</v>
      </c>
      <c r="AI26">
        <v>3.6784187961756976E-2</v>
      </c>
      <c r="AJ26" s="8">
        <f>(AH26-AI26)^2</f>
        <v>7.8818742188805225E-4</v>
      </c>
    </row>
    <row r="27" spans="1:36" x14ac:dyDescent="0.3">
      <c r="B27">
        <v>10</v>
      </c>
      <c r="C27">
        <v>5.2234828584717956</v>
      </c>
      <c r="D27">
        <v>0.42956164153518672</v>
      </c>
      <c r="E27">
        <v>13.2</v>
      </c>
      <c r="F27" s="9">
        <f t="shared" si="18"/>
        <v>0.39571839836907546</v>
      </c>
      <c r="G27" s="9">
        <f t="shared" si="19"/>
        <v>3.2542548601150509E-2</v>
      </c>
      <c r="J27">
        <v>4</v>
      </c>
      <c r="K27" s="10">
        <f>K23</f>
        <v>4.4879289322119522</v>
      </c>
      <c r="L27" s="10">
        <f>L23</f>
        <v>9.5398482890680061</v>
      </c>
      <c r="M27">
        <f t="shared" si="20"/>
        <v>3.2514049890310423E-5</v>
      </c>
      <c r="N27">
        <f t="shared" si="20"/>
        <v>2.8850391501416097E-10</v>
      </c>
      <c r="O27">
        <f t="shared" si="21"/>
        <v>1E-4</v>
      </c>
      <c r="P27" s="10">
        <v>0.24357000000000001</v>
      </c>
      <c r="Q27" s="10">
        <f t="shared" si="22"/>
        <v>2.8898048422552811E-2</v>
      </c>
      <c r="R27" s="10">
        <f t="shared" si="23"/>
        <v>0.97110195157744716</v>
      </c>
      <c r="S27" s="9">
        <f t="shared" ref="S27:S43" si="29">$P27*(($Q27*($M27/($O27+$M27))))</f>
        <v>1.7270362416932194E-3</v>
      </c>
      <c r="T27" s="9">
        <f t="shared" ref="T27:T43" si="30">$P27*(($R27*$N27/($N27+$O27)))</f>
        <v>6.8240009875037988E-7</v>
      </c>
      <c r="U27" s="9">
        <f t="shared" si="24"/>
        <v>1.7277186417919699E-3</v>
      </c>
      <c r="V27" s="9"/>
      <c r="Y27">
        <v>4</v>
      </c>
      <c r="Z27" s="10">
        <f>Z23</f>
        <v>4.6764641489024328</v>
      </c>
      <c r="AA27" s="10">
        <f>AA23</f>
        <v>9.4167166088466949</v>
      </c>
      <c r="AB27">
        <f t="shared" si="25"/>
        <v>2.1063757735617898E-5</v>
      </c>
      <c r="AC27">
        <f t="shared" si="25"/>
        <v>3.8307463032685189E-10</v>
      </c>
      <c r="AD27">
        <f t="shared" si="26"/>
        <v>1E-4</v>
      </c>
      <c r="AE27" s="9">
        <v>0.36699999999999999</v>
      </c>
      <c r="AF27" s="10">
        <v>0.38</v>
      </c>
      <c r="AG27" s="10">
        <f t="shared" si="27"/>
        <v>0.62</v>
      </c>
      <c r="AH27" s="9">
        <f t="shared" si="28"/>
        <v>2.426537250565395E-2</v>
      </c>
      <c r="AI27" s="9"/>
    </row>
    <row r="28" spans="1:36" x14ac:dyDescent="0.3">
      <c r="A28" t="s">
        <v>111</v>
      </c>
      <c r="B28">
        <v>10.5</v>
      </c>
      <c r="C28">
        <v>4.4663950595515924</v>
      </c>
      <c r="D28">
        <v>9.5703582850515834E-2</v>
      </c>
      <c r="E28">
        <v>13.2</v>
      </c>
      <c r="F28" s="9">
        <f t="shared" si="18"/>
        <v>0.33836326208724188</v>
      </c>
      <c r="G28" s="9">
        <f t="shared" si="19"/>
        <v>7.250271428069382E-3</v>
      </c>
      <c r="J28">
        <v>4.5</v>
      </c>
      <c r="K28" s="10">
        <f>K23</f>
        <v>4.4879289322119522</v>
      </c>
      <c r="L28" s="10">
        <f>L23</f>
        <v>9.5398482890680061</v>
      </c>
      <c r="M28">
        <f t="shared" si="20"/>
        <v>3.2514049890310423E-5</v>
      </c>
      <c r="N28">
        <f t="shared" si="20"/>
        <v>2.8850391501416097E-10</v>
      </c>
      <c r="O28">
        <f t="shared" si="21"/>
        <v>3.1622776601683748E-5</v>
      </c>
      <c r="P28" s="10">
        <v>0.24357000000000001</v>
      </c>
      <c r="Q28" s="10">
        <f t="shared" si="22"/>
        <v>2.8898048422552811E-2</v>
      </c>
      <c r="R28" s="10">
        <f t="shared" si="23"/>
        <v>0.97110195157744716</v>
      </c>
      <c r="S28" s="9">
        <f t="shared" si="29"/>
        <v>3.5682552320027297E-3</v>
      </c>
      <c r="T28" s="9">
        <f t="shared" si="30"/>
        <v>2.1579251259251388E-6</v>
      </c>
      <c r="U28" s="9">
        <f t="shared" si="24"/>
        <v>3.5704131571286549E-3</v>
      </c>
      <c r="V28" s="9"/>
      <c r="Y28">
        <v>4.5</v>
      </c>
      <c r="Z28" s="10">
        <f>Z23</f>
        <v>4.6764641489024328</v>
      </c>
      <c r="AA28" s="10">
        <f>AA23</f>
        <v>9.4167166088466949</v>
      </c>
      <c r="AB28">
        <f t="shared" si="25"/>
        <v>2.1063757735617898E-5</v>
      </c>
      <c r="AC28">
        <f t="shared" si="25"/>
        <v>3.8307463032685189E-10</v>
      </c>
      <c r="AD28">
        <f t="shared" si="26"/>
        <v>3.1622776601683748E-5</v>
      </c>
      <c r="AE28" s="9">
        <v>0.36699999999999999</v>
      </c>
      <c r="AF28" s="10">
        <v>0.38</v>
      </c>
      <c r="AG28" s="10">
        <f t="shared" si="27"/>
        <v>0.62</v>
      </c>
      <c r="AH28" s="9">
        <f t="shared" si="28"/>
        <v>5.5758020788374954E-2</v>
      </c>
      <c r="AI28" s="9"/>
    </row>
    <row r="29" spans="1:36" x14ac:dyDescent="0.3">
      <c r="J29">
        <v>5</v>
      </c>
      <c r="K29" s="10">
        <f>K23</f>
        <v>4.4879289322119522</v>
      </c>
      <c r="L29" s="10">
        <f>L23</f>
        <v>9.5398482890680061</v>
      </c>
      <c r="M29">
        <f t="shared" si="20"/>
        <v>3.2514049890310423E-5</v>
      </c>
      <c r="N29">
        <f t="shared" si="20"/>
        <v>2.8850391501416097E-10</v>
      </c>
      <c r="O29">
        <f t="shared" si="21"/>
        <v>1.0000000000000001E-5</v>
      </c>
      <c r="P29" s="10">
        <v>0.24357000000000001</v>
      </c>
      <c r="Q29" s="10">
        <f t="shared" si="22"/>
        <v>2.8898048422552811E-2</v>
      </c>
      <c r="R29" s="10">
        <f t="shared" si="23"/>
        <v>0.97110195157744716</v>
      </c>
      <c r="S29" s="9">
        <f t="shared" si="29"/>
        <v>5.3830808235060491E-3</v>
      </c>
      <c r="T29" s="9">
        <f t="shared" si="30"/>
        <v>6.8238238050254953E-6</v>
      </c>
      <c r="U29" s="9">
        <f t="shared" si="24"/>
        <v>5.3899046473110746E-3</v>
      </c>
      <c r="V29" s="9">
        <v>4.4220749377040418E-3</v>
      </c>
      <c r="W29" s="8">
        <f>(U29-V29)^2</f>
        <v>9.3669434679803336E-7</v>
      </c>
      <c r="Y29">
        <v>5</v>
      </c>
      <c r="Z29" s="10">
        <f>Z23</f>
        <v>4.6764641489024328</v>
      </c>
      <c r="AA29" s="10">
        <f>AA23</f>
        <v>9.4167166088466949</v>
      </c>
      <c r="AB29">
        <f t="shared" si="25"/>
        <v>2.1063757735617898E-5</v>
      </c>
      <c r="AC29">
        <f t="shared" si="25"/>
        <v>3.8307463032685189E-10</v>
      </c>
      <c r="AD29">
        <f t="shared" si="26"/>
        <v>1.0000000000000001E-5</v>
      </c>
      <c r="AE29" s="9">
        <v>0.36699999999999999</v>
      </c>
      <c r="AF29" s="10">
        <v>0.38</v>
      </c>
      <c r="AG29" s="10">
        <f t="shared" si="27"/>
        <v>0.62</v>
      </c>
      <c r="AH29" s="9">
        <f t="shared" si="28"/>
        <v>9.4573954479952996E-2</v>
      </c>
      <c r="AI29">
        <v>0.1067289077382622</v>
      </c>
      <c r="AJ29" s="8">
        <f>(AH29-AI29)^2</f>
        <v>1.4774288871168153E-4</v>
      </c>
    </row>
    <row r="30" spans="1:36" x14ac:dyDescent="0.3">
      <c r="J30">
        <v>5.5</v>
      </c>
      <c r="K30" s="10">
        <f>K23</f>
        <v>4.4879289322119522</v>
      </c>
      <c r="L30" s="10">
        <f>L23</f>
        <v>9.5398482890680061</v>
      </c>
      <c r="M30">
        <f t="shared" si="20"/>
        <v>3.2514049890310423E-5</v>
      </c>
      <c r="N30">
        <f t="shared" si="20"/>
        <v>2.8850391501416097E-10</v>
      </c>
      <c r="O30">
        <f t="shared" si="21"/>
        <v>3.1622776601683767E-6</v>
      </c>
      <c r="P30" s="10">
        <v>0.24357000000000001</v>
      </c>
      <c r="Q30" s="10">
        <f t="shared" si="22"/>
        <v>2.8898048422552811E-2</v>
      </c>
      <c r="R30" s="10">
        <f t="shared" si="23"/>
        <v>0.97110195157744716</v>
      </c>
      <c r="S30" s="9">
        <f t="shared" si="29"/>
        <v>6.4148017020613469E-3</v>
      </c>
      <c r="T30" s="9">
        <f t="shared" si="30"/>
        <v>2.1577479556041538E-5</v>
      </c>
      <c r="U30" s="9">
        <f t="shared" si="24"/>
        <v>6.4363791816173877E-3</v>
      </c>
      <c r="V30" s="9"/>
      <c r="Y30">
        <v>5.5</v>
      </c>
      <c r="Z30" s="10">
        <f>Z23</f>
        <v>4.6764641489024328</v>
      </c>
      <c r="AA30" s="10">
        <f>AA23</f>
        <v>9.4167166088466949</v>
      </c>
      <c r="AB30">
        <f t="shared" si="25"/>
        <v>2.1063757735617898E-5</v>
      </c>
      <c r="AC30">
        <f t="shared" si="25"/>
        <v>3.8307463032685189E-10</v>
      </c>
      <c r="AD30">
        <f t="shared" si="26"/>
        <v>3.1622776601683767E-6</v>
      </c>
      <c r="AE30" s="9">
        <v>0.36699999999999999</v>
      </c>
      <c r="AF30" s="10">
        <v>0.38</v>
      </c>
      <c r="AG30" s="10">
        <f t="shared" si="27"/>
        <v>0.62</v>
      </c>
      <c r="AH30" s="9">
        <f t="shared" si="28"/>
        <v>0.12128354019460462</v>
      </c>
      <c r="AI30" s="9"/>
    </row>
    <row r="31" spans="1:36" x14ac:dyDescent="0.3">
      <c r="J31">
        <v>6</v>
      </c>
      <c r="K31" s="10">
        <f>K23</f>
        <v>4.4879289322119522</v>
      </c>
      <c r="L31" s="10">
        <f>L23</f>
        <v>9.5398482890680061</v>
      </c>
      <c r="M31">
        <f t="shared" si="20"/>
        <v>3.2514049890310423E-5</v>
      </c>
      <c r="N31">
        <f t="shared" si="20"/>
        <v>2.8850391501416097E-10</v>
      </c>
      <c r="O31">
        <f t="shared" si="21"/>
        <v>9.9999999999999995E-7</v>
      </c>
      <c r="P31" s="10">
        <v>0.24357000000000001</v>
      </c>
      <c r="Q31" s="10">
        <f t="shared" si="22"/>
        <v>2.8898048422552811E-2</v>
      </c>
      <c r="R31" s="10">
        <f t="shared" si="23"/>
        <v>0.97110195157744716</v>
      </c>
      <c r="S31" s="9">
        <f t="shared" si="29"/>
        <v>6.8286753598309977E-3</v>
      </c>
      <c r="T31" s="9">
        <f t="shared" si="30"/>
        <v>6.8220524861631175E-5</v>
      </c>
      <c r="U31" s="9">
        <f t="shared" si="24"/>
        <v>6.8968958846926283E-3</v>
      </c>
      <c r="V31" s="9"/>
      <c r="Y31">
        <v>6</v>
      </c>
      <c r="Z31" s="10">
        <f>Z23</f>
        <v>4.6764641489024328</v>
      </c>
      <c r="AA31" s="10">
        <f>AA23</f>
        <v>9.4167166088466949</v>
      </c>
      <c r="AB31">
        <f t="shared" si="25"/>
        <v>2.1063757735617898E-5</v>
      </c>
      <c r="AC31">
        <f t="shared" si="25"/>
        <v>3.8307463032685189E-10</v>
      </c>
      <c r="AD31">
        <f t="shared" si="26"/>
        <v>9.9999999999999995E-7</v>
      </c>
      <c r="AE31" s="9">
        <v>0.36699999999999999</v>
      </c>
      <c r="AF31" s="10">
        <v>0.38</v>
      </c>
      <c r="AG31" s="10">
        <f t="shared" si="27"/>
        <v>0.62</v>
      </c>
      <c r="AH31" s="9">
        <f t="shared" si="28"/>
        <v>0.13322635861271823</v>
      </c>
      <c r="AI31" s="9"/>
    </row>
    <row r="32" spans="1:36" x14ac:dyDescent="0.3">
      <c r="J32">
        <v>6.5</v>
      </c>
      <c r="K32" s="10">
        <f>K23</f>
        <v>4.4879289322119522</v>
      </c>
      <c r="L32" s="10">
        <f>L23</f>
        <v>9.5398482890680061</v>
      </c>
      <c r="M32">
        <f t="shared" si="20"/>
        <v>3.2514049890310423E-5</v>
      </c>
      <c r="N32">
        <f t="shared" si="20"/>
        <v>2.8850391501416097E-10</v>
      </c>
      <c r="O32">
        <f t="shared" si="21"/>
        <v>3.1622776601683734E-7</v>
      </c>
      <c r="P32" s="10">
        <v>0.24357000000000001</v>
      </c>
      <c r="Q32" s="10">
        <f t="shared" si="22"/>
        <v>2.8898048422552811E-2</v>
      </c>
      <c r="R32" s="10">
        <f t="shared" si="23"/>
        <v>0.97110195157744716</v>
      </c>
      <c r="S32" s="9">
        <f t="shared" si="29"/>
        <v>6.9708995181161013E-3</v>
      </c>
      <c r="T32" s="9">
        <f t="shared" si="30"/>
        <v>2.1559778511490342E-4</v>
      </c>
      <c r="U32" s="9">
        <f t="shared" si="24"/>
        <v>7.1864973032310046E-3</v>
      </c>
      <c r="V32" s="9"/>
      <c r="Y32">
        <v>6.5</v>
      </c>
      <c r="Z32" s="10">
        <f>Z23</f>
        <v>4.6764641489024328</v>
      </c>
      <c r="AA32" s="10">
        <f>AA23</f>
        <v>9.4167166088466949</v>
      </c>
      <c r="AB32">
        <f t="shared" si="25"/>
        <v>2.1063757735617898E-5</v>
      </c>
      <c r="AC32">
        <f t="shared" si="25"/>
        <v>3.8307463032685189E-10</v>
      </c>
      <c r="AD32">
        <f t="shared" si="26"/>
        <v>3.1622776601683734E-7</v>
      </c>
      <c r="AE32" s="9">
        <v>0.36699999999999999</v>
      </c>
      <c r="AF32" s="10">
        <v>0.38</v>
      </c>
      <c r="AG32" s="10">
        <f t="shared" si="27"/>
        <v>0.62</v>
      </c>
      <c r="AH32" s="9">
        <f t="shared" si="28"/>
        <v>0.13767257642143982</v>
      </c>
      <c r="AI32" s="9"/>
    </row>
    <row r="33" spans="10:36" x14ac:dyDescent="0.3">
      <c r="J33">
        <v>7</v>
      </c>
      <c r="K33" s="10">
        <f>K23</f>
        <v>4.4879289322119522</v>
      </c>
      <c r="L33" s="10">
        <f>L23</f>
        <v>9.5398482890680061</v>
      </c>
      <c r="M33">
        <f t="shared" si="20"/>
        <v>3.2514049890310423E-5</v>
      </c>
      <c r="N33">
        <f t="shared" si="20"/>
        <v>2.8850391501416097E-10</v>
      </c>
      <c r="O33">
        <f t="shared" si="21"/>
        <v>9.9999999999999995E-8</v>
      </c>
      <c r="P33" s="10">
        <v>0.24357000000000001</v>
      </c>
      <c r="Q33" s="10">
        <f t="shared" si="22"/>
        <v>2.8898048422552811E-2</v>
      </c>
      <c r="R33" s="10">
        <f t="shared" si="23"/>
        <v>0.97110195157744716</v>
      </c>
      <c r="S33" s="9">
        <f t="shared" si="29"/>
        <v>7.0171158584663353E-3</v>
      </c>
      <c r="T33" s="9">
        <f t="shared" si="30"/>
        <v>6.8043897442089435E-4</v>
      </c>
      <c r="U33" s="9">
        <f t="shared" si="24"/>
        <v>7.6975548328872285E-3</v>
      </c>
      <c r="V33" s="9">
        <v>6.9146677396683042E-3</v>
      </c>
      <c r="W33" s="8">
        <f>(U33-V33)^2</f>
        <v>6.1291220072877655E-7</v>
      </c>
      <c r="Y33">
        <v>7</v>
      </c>
      <c r="Z33" s="10">
        <f>Z23</f>
        <v>4.6764641489024328</v>
      </c>
      <c r="AA33" s="10">
        <f>AA23</f>
        <v>9.4167166088466949</v>
      </c>
      <c r="AB33">
        <f t="shared" si="25"/>
        <v>2.1063757735617898E-5</v>
      </c>
      <c r="AC33">
        <f t="shared" si="25"/>
        <v>3.8307463032685189E-10</v>
      </c>
      <c r="AD33">
        <f t="shared" si="26"/>
        <v>9.9999999999999995E-8</v>
      </c>
      <c r="AE33" s="9">
        <v>0.36699999999999999</v>
      </c>
      <c r="AF33" s="10">
        <v>0.38</v>
      </c>
      <c r="AG33" s="10">
        <f t="shared" si="27"/>
        <v>0.62</v>
      </c>
      <c r="AH33" s="9">
        <f t="shared" si="28"/>
        <v>0.1396693649916986</v>
      </c>
      <c r="AI33">
        <v>0.16778343574573976</v>
      </c>
      <c r="AJ33" s="8">
        <f>(AH33-AI33)^2</f>
        <v>7.9040097436323216E-4</v>
      </c>
    </row>
    <row r="34" spans="10:36" x14ac:dyDescent="0.3">
      <c r="J34">
        <v>7.5</v>
      </c>
      <c r="K34" s="10">
        <f>K23</f>
        <v>4.4879289322119522</v>
      </c>
      <c r="L34" s="10">
        <f>L23</f>
        <v>9.5398482890680061</v>
      </c>
      <c r="M34">
        <f t="shared" si="20"/>
        <v>3.2514049890310423E-5</v>
      </c>
      <c r="N34">
        <f t="shared" si="20"/>
        <v>2.8850391501416097E-10</v>
      </c>
      <c r="O34">
        <f t="shared" si="21"/>
        <v>3.1622776601683699E-8</v>
      </c>
      <c r="P34" s="10">
        <v>0.24357000000000001</v>
      </c>
      <c r="Q34" s="10">
        <f t="shared" si="22"/>
        <v>2.8898048422552811E-2</v>
      </c>
      <c r="R34" s="10">
        <f t="shared" si="23"/>
        <v>0.97110195157744716</v>
      </c>
      <c r="S34" s="9">
        <f t="shared" si="29"/>
        <v>7.0318585526357507E-3</v>
      </c>
      <c r="T34" s="9">
        <f t="shared" si="30"/>
        <v>2.1384352381105731E-3</v>
      </c>
      <c r="U34" s="9">
        <f t="shared" si="24"/>
        <v>9.1702937907463238E-3</v>
      </c>
      <c r="V34" s="9"/>
      <c r="Y34">
        <v>7.5</v>
      </c>
      <c r="Z34" s="10">
        <f>Z23</f>
        <v>4.6764641489024328</v>
      </c>
      <c r="AA34" s="10">
        <f>AA23</f>
        <v>9.4167166088466949</v>
      </c>
      <c r="AB34">
        <f t="shared" si="25"/>
        <v>2.1063757735617898E-5</v>
      </c>
      <c r="AC34">
        <f t="shared" si="25"/>
        <v>3.8307463032685189E-10</v>
      </c>
      <c r="AD34">
        <f t="shared" si="26"/>
        <v>3.1622776601683699E-8</v>
      </c>
      <c r="AE34" s="9">
        <v>0.36699999999999999</v>
      </c>
      <c r="AF34" s="10">
        <v>0.38</v>
      </c>
      <c r="AG34" s="10">
        <f t="shared" si="27"/>
        <v>0.62</v>
      </c>
      <c r="AH34" s="9">
        <f t="shared" si="28"/>
        <v>0.14197434622971011</v>
      </c>
      <c r="AI34" s="9"/>
    </row>
    <row r="35" spans="10:36" x14ac:dyDescent="0.3">
      <c r="J35">
        <v>8</v>
      </c>
      <c r="K35" s="10">
        <f>K23</f>
        <v>4.4879289322119522</v>
      </c>
      <c r="L35" s="10">
        <f>L23</f>
        <v>9.5398482890680061</v>
      </c>
      <c r="M35">
        <f t="shared" si="20"/>
        <v>3.2514049890310423E-5</v>
      </c>
      <c r="N35">
        <f t="shared" si="20"/>
        <v>2.8850391501416097E-10</v>
      </c>
      <c r="O35">
        <f t="shared" si="21"/>
        <v>1E-8</v>
      </c>
      <c r="P35" s="10">
        <v>0.24357000000000001</v>
      </c>
      <c r="Q35" s="10">
        <f t="shared" si="22"/>
        <v>2.8898048422552811E-2</v>
      </c>
      <c r="R35" s="10">
        <f t="shared" si="23"/>
        <v>0.97110195157744716</v>
      </c>
      <c r="S35" s="9">
        <f t="shared" si="29"/>
        <v>7.036533502621717E-3</v>
      </c>
      <c r="T35" s="9">
        <f t="shared" si="30"/>
        <v>6.6326656736315345E-3</v>
      </c>
      <c r="U35" s="9">
        <f t="shared" si="24"/>
        <v>1.3669199176253252E-2</v>
      </c>
      <c r="V35" s="9"/>
      <c r="Y35">
        <v>8</v>
      </c>
      <c r="Z35" s="10">
        <f>Z23</f>
        <v>4.6764641489024328</v>
      </c>
      <c r="AA35" s="10">
        <f>AA23</f>
        <v>9.4167166088466949</v>
      </c>
      <c r="AB35">
        <f t="shared" si="25"/>
        <v>2.1063757735617898E-5</v>
      </c>
      <c r="AC35">
        <f t="shared" si="25"/>
        <v>3.8307463032685189E-10</v>
      </c>
      <c r="AD35">
        <f t="shared" si="26"/>
        <v>1E-8</v>
      </c>
      <c r="AE35" s="9">
        <v>0.36699999999999999</v>
      </c>
      <c r="AF35" s="10">
        <v>0.38</v>
      </c>
      <c r="AG35" s="10">
        <f t="shared" si="27"/>
        <v>0.62</v>
      </c>
      <c r="AH35" s="9">
        <f t="shared" si="28"/>
        <v>0.14778871599026452</v>
      </c>
      <c r="AI35" s="9"/>
    </row>
    <row r="36" spans="10:36" x14ac:dyDescent="0.3">
      <c r="J36">
        <v>8.5</v>
      </c>
      <c r="K36" s="10">
        <f>K23</f>
        <v>4.4879289322119522</v>
      </c>
      <c r="L36" s="10">
        <f>L23</f>
        <v>9.5398482890680061</v>
      </c>
      <c r="M36">
        <f t="shared" si="20"/>
        <v>3.2514049890310423E-5</v>
      </c>
      <c r="N36">
        <f t="shared" si="20"/>
        <v>2.8850391501416097E-10</v>
      </c>
      <c r="O36">
        <f t="shared" si="21"/>
        <v>3.1622776601683779E-9</v>
      </c>
      <c r="P36" s="10">
        <v>0.24357000000000001</v>
      </c>
      <c r="Q36" s="10">
        <f t="shared" si="22"/>
        <v>2.8898048422552811E-2</v>
      </c>
      <c r="R36" s="10">
        <f t="shared" si="23"/>
        <v>0.97110195157744716</v>
      </c>
      <c r="S36" s="9">
        <f t="shared" si="29"/>
        <v>7.03801314552829E-3</v>
      </c>
      <c r="T36" s="9">
        <f t="shared" si="30"/>
        <v>1.9775290108452696E-2</v>
      </c>
      <c r="U36" s="9">
        <f t="shared" si="24"/>
        <v>2.6813303253980986E-2</v>
      </c>
      <c r="V36" s="9"/>
      <c r="Y36">
        <v>8.5</v>
      </c>
      <c r="Z36" s="10">
        <f>Z23</f>
        <v>4.6764641489024328</v>
      </c>
      <c r="AA36" s="10">
        <f>AA23</f>
        <v>9.4167166088466949</v>
      </c>
      <c r="AB36">
        <f t="shared" si="25"/>
        <v>2.1063757735617898E-5</v>
      </c>
      <c r="AC36">
        <f t="shared" si="25"/>
        <v>3.8307463032685189E-10</v>
      </c>
      <c r="AD36">
        <f t="shared" si="26"/>
        <v>3.1622776601683779E-9</v>
      </c>
      <c r="AE36" s="9">
        <v>0.36699999999999999</v>
      </c>
      <c r="AF36" s="10">
        <v>0.38</v>
      </c>
      <c r="AG36" s="10">
        <f t="shared" si="27"/>
        <v>0.62</v>
      </c>
      <c r="AH36" s="9">
        <f t="shared" si="28"/>
        <v>0.16402471923236692</v>
      </c>
      <c r="AI36" s="9"/>
    </row>
    <row r="37" spans="10:36" x14ac:dyDescent="0.3">
      <c r="J37">
        <v>9</v>
      </c>
      <c r="K37" s="10">
        <f>K23</f>
        <v>4.4879289322119522</v>
      </c>
      <c r="L37" s="10">
        <f>L23</f>
        <v>9.5398482890680061</v>
      </c>
      <c r="M37">
        <f t="shared" si="20"/>
        <v>3.2514049890310423E-5</v>
      </c>
      <c r="N37">
        <f t="shared" si="20"/>
        <v>2.8850391501416097E-10</v>
      </c>
      <c r="O37">
        <f t="shared" si="21"/>
        <v>1.0000000000000001E-9</v>
      </c>
      <c r="P37" s="10">
        <v>0.24357000000000001</v>
      </c>
      <c r="Q37" s="10">
        <f t="shared" si="22"/>
        <v>2.8898048422552811E-2</v>
      </c>
      <c r="R37" s="10">
        <f t="shared" si="23"/>
        <v>0.97110195157744716</v>
      </c>
      <c r="S37" s="9">
        <f t="shared" si="29"/>
        <v>7.0384811792126275E-3</v>
      </c>
      <c r="T37" s="9">
        <f t="shared" si="30"/>
        <v>5.2960806680504423E-2</v>
      </c>
      <c r="U37" s="9">
        <f t="shared" si="24"/>
        <v>5.9999287859717053E-2</v>
      </c>
      <c r="V37" s="9">
        <v>6.4198756469195858E-2</v>
      </c>
      <c r="W37" s="8">
        <f>(U37-V37)^2</f>
        <v>1.7635536601997851E-5</v>
      </c>
      <c r="Y37">
        <v>9</v>
      </c>
      <c r="Z37" s="10">
        <f>Z23</f>
        <v>4.6764641489024328</v>
      </c>
      <c r="AA37" s="10">
        <f>AA23</f>
        <v>9.4167166088466949</v>
      </c>
      <c r="AB37">
        <f t="shared" si="25"/>
        <v>2.1063757735617898E-5</v>
      </c>
      <c r="AC37">
        <f t="shared" si="25"/>
        <v>3.8307463032685189E-10</v>
      </c>
      <c r="AD37">
        <f t="shared" si="26"/>
        <v>1.0000000000000001E-9</v>
      </c>
      <c r="AE37" s="9">
        <v>0.36699999999999999</v>
      </c>
      <c r="AF37" s="10">
        <v>0.38</v>
      </c>
      <c r="AG37" s="10">
        <f t="shared" si="27"/>
        <v>0.62</v>
      </c>
      <c r="AH37" s="9">
        <f t="shared" si="28"/>
        <v>0.2024758653605955</v>
      </c>
      <c r="AI37">
        <v>0.13267319826561269</v>
      </c>
      <c r="AJ37" s="8">
        <f>(AH37-AI37)^2</f>
        <v>4.8724123335729961E-3</v>
      </c>
    </row>
    <row r="38" spans="10:36" x14ac:dyDescent="0.3">
      <c r="J38">
        <v>9.5</v>
      </c>
      <c r="K38" s="10">
        <f>K23</f>
        <v>4.4879289322119522</v>
      </c>
      <c r="L38" s="10">
        <f>L23</f>
        <v>9.5398482890680061</v>
      </c>
      <c r="M38">
        <f t="shared" si="20"/>
        <v>3.2514049890310423E-5</v>
      </c>
      <c r="N38">
        <f t="shared" si="20"/>
        <v>2.8850391501416097E-10</v>
      </c>
      <c r="O38">
        <f t="shared" si="21"/>
        <v>3.1622776601683744E-10</v>
      </c>
      <c r="P38" s="10">
        <v>0.24357000000000001</v>
      </c>
      <c r="Q38" s="10">
        <f t="shared" si="22"/>
        <v>2.8898048422552811E-2</v>
      </c>
      <c r="R38" s="10">
        <f t="shared" si="23"/>
        <v>0.97110195157744716</v>
      </c>
      <c r="S38" s="9">
        <f t="shared" si="29"/>
        <v>7.0386291974142519E-3</v>
      </c>
      <c r="T38" s="9">
        <f t="shared" si="30"/>
        <v>0.11284377665445991</v>
      </c>
      <c r="U38" s="9">
        <f t="shared" si="24"/>
        <v>0.11988240585187417</v>
      </c>
      <c r="V38" s="9"/>
      <c r="Y38">
        <v>9.5</v>
      </c>
      <c r="Z38" s="10">
        <f>Z23</f>
        <v>4.6764641489024328</v>
      </c>
      <c r="AA38" s="10">
        <f>AA23</f>
        <v>9.4167166088466949</v>
      </c>
      <c r="AB38">
        <f t="shared" si="25"/>
        <v>2.1063757735617898E-5</v>
      </c>
      <c r="AC38">
        <f t="shared" si="25"/>
        <v>3.8307463032685189E-10</v>
      </c>
      <c r="AD38">
        <f t="shared" si="26"/>
        <v>3.1622776601683744E-10</v>
      </c>
      <c r="AE38" s="9">
        <v>0.36699999999999999</v>
      </c>
      <c r="AF38" s="10">
        <v>0.38</v>
      </c>
      <c r="AG38" s="10">
        <f t="shared" si="27"/>
        <v>0.62</v>
      </c>
      <c r="AH38" s="9">
        <f t="shared" si="28"/>
        <v>0.26410326982865823</v>
      </c>
      <c r="AI38" s="9"/>
    </row>
    <row r="39" spans="10:36" x14ac:dyDescent="0.3">
      <c r="J39">
        <v>10</v>
      </c>
      <c r="K39" s="10">
        <f>K23</f>
        <v>4.4879289322119522</v>
      </c>
      <c r="L39" s="10">
        <f>L23</f>
        <v>9.5398482890680061</v>
      </c>
      <c r="M39">
        <f t="shared" si="20"/>
        <v>3.2514049890310423E-5</v>
      </c>
      <c r="N39">
        <f t="shared" si="20"/>
        <v>2.8850391501416097E-10</v>
      </c>
      <c r="O39">
        <f t="shared" si="21"/>
        <v>1E-10</v>
      </c>
      <c r="P39" s="10">
        <v>0.24357000000000001</v>
      </c>
      <c r="Q39" s="10">
        <f t="shared" si="22"/>
        <v>2.8898048422552811E-2</v>
      </c>
      <c r="R39" s="10">
        <f t="shared" si="23"/>
        <v>0.97110195157744716</v>
      </c>
      <c r="S39" s="9">
        <f t="shared" si="29"/>
        <v>7.0386760061751236E-3</v>
      </c>
      <c r="T39" s="9">
        <f t="shared" si="30"/>
        <v>0.17564869776833708</v>
      </c>
      <c r="U39" s="9">
        <f t="shared" si="24"/>
        <v>0.18268737377451219</v>
      </c>
      <c r="V39" s="9">
        <v>0.1402145558898967</v>
      </c>
      <c r="W39" s="8">
        <f>(U39-V39)^2</f>
        <v>1.8039402590597133E-3</v>
      </c>
      <c r="Y39">
        <v>10</v>
      </c>
      <c r="Z39" s="10">
        <f>Z23</f>
        <v>4.6764641489024328</v>
      </c>
      <c r="AA39" s="10">
        <f>AA23</f>
        <v>9.4167166088466949</v>
      </c>
      <c r="AB39">
        <f t="shared" si="25"/>
        <v>2.1063757735617898E-5</v>
      </c>
      <c r="AC39">
        <f t="shared" si="25"/>
        <v>3.8307463032685189E-10</v>
      </c>
      <c r="AD39">
        <f t="shared" si="26"/>
        <v>1E-10</v>
      </c>
      <c r="AE39" s="9">
        <v>0.36699999999999999</v>
      </c>
      <c r="AF39" s="10">
        <v>0.38</v>
      </c>
      <c r="AG39" s="10">
        <f t="shared" si="27"/>
        <v>0.62</v>
      </c>
      <c r="AH39" s="9">
        <f t="shared" si="28"/>
        <v>0.31989688506391356</v>
      </c>
      <c r="AI39">
        <v>0.43169279822080958</v>
      </c>
      <c r="AJ39" s="8">
        <f>(AH39-AI39)^2</f>
        <v>1.2498326198584236E-2</v>
      </c>
    </row>
    <row r="40" spans="10:36" x14ac:dyDescent="0.3">
      <c r="J40">
        <v>10.5</v>
      </c>
      <c r="K40" s="10">
        <f>K23</f>
        <v>4.4879289322119522</v>
      </c>
      <c r="L40" s="10">
        <f>L23</f>
        <v>9.5398482890680061</v>
      </c>
      <c r="M40">
        <f t="shared" si="20"/>
        <v>3.2514049890310423E-5</v>
      </c>
      <c r="N40">
        <f t="shared" si="20"/>
        <v>2.8850391501416097E-10</v>
      </c>
      <c r="O40">
        <f t="shared" si="21"/>
        <v>3.162277660168371E-11</v>
      </c>
      <c r="P40" s="10">
        <v>0.24357000000000001</v>
      </c>
      <c r="Q40" s="10">
        <f t="shared" si="22"/>
        <v>2.8898048422552811E-2</v>
      </c>
      <c r="R40" s="10">
        <f t="shared" si="23"/>
        <v>0.97110195157744716</v>
      </c>
      <c r="S40" s="9">
        <f t="shared" si="29"/>
        <v>7.0386908085345729E-3</v>
      </c>
      <c r="T40" s="9">
        <f t="shared" si="30"/>
        <v>0.21316625116666943</v>
      </c>
      <c r="U40" s="9">
        <f t="shared" si="24"/>
        <v>0.22020494197520402</v>
      </c>
      <c r="V40" s="9">
        <v>0.21284755079364601</v>
      </c>
      <c r="W40" s="8">
        <f>(U40-V40)^2</f>
        <v>5.4131204998467563E-5</v>
      </c>
      <c r="Y40">
        <v>10.5</v>
      </c>
      <c r="Z40" s="10">
        <f>Z23</f>
        <v>4.6764641489024328</v>
      </c>
      <c r="AA40" s="10">
        <f>AA23</f>
        <v>9.4167166088466949</v>
      </c>
      <c r="AB40">
        <f t="shared" si="25"/>
        <v>2.1063757735617898E-5</v>
      </c>
      <c r="AC40">
        <f t="shared" si="25"/>
        <v>3.8307463032685189E-10</v>
      </c>
      <c r="AD40">
        <f t="shared" si="26"/>
        <v>3.162277660168371E-11</v>
      </c>
      <c r="AE40" s="9">
        <v>0.36699999999999999</v>
      </c>
      <c r="AF40" s="10">
        <v>0.38</v>
      </c>
      <c r="AG40" s="10">
        <f t="shared" si="27"/>
        <v>0.62</v>
      </c>
      <c r="AH40" s="9">
        <f t="shared" si="28"/>
        <v>0.34964871375449846</v>
      </c>
      <c r="AI40">
        <v>0.36912355864062746</v>
      </c>
      <c r="AJ40" s="8">
        <f>(AH40-AI40)^2</f>
        <v>3.7926958333878467E-4</v>
      </c>
    </row>
    <row r="41" spans="10:36" x14ac:dyDescent="0.3">
      <c r="J41">
        <v>11</v>
      </c>
      <c r="K41" s="10">
        <f>K23</f>
        <v>4.4879289322119522</v>
      </c>
      <c r="L41" s="10">
        <f>L23</f>
        <v>9.5398482890680061</v>
      </c>
      <c r="M41">
        <f t="shared" si="20"/>
        <v>3.2514049890310423E-5</v>
      </c>
      <c r="N41">
        <f t="shared" si="20"/>
        <v>2.8850391501416097E-10</v>
      </c>
      <c r="O41">
        <f t="shared" si="21"/>
        <v>9.9999999999999994E-12</v>
      </c>
      <c r="P41" s="10">
        <v>0.24357000000000001</v>
      </c>
      <c r="Q41" s="10">
        <f t="shared" si="22"/>
        <v>2.8898048422552811E-2</v>
      </c>
      <c r="R41" s="10">
        <f t="shared" si="23"/>
        <v>0.97110195157744716</v>
      </c>
      <c r="S41" s="9">
        <f t="shared" si="29"/>
        <v>7.0386954894645897E-3</v>
      </c>
      <c r="T41" s="9">
        <f t="shared" si="30"/>
        <v>0.22860740954402817</v>
      </c>
      <c r="U41" s="9">
        <f t="shared" si="24"/>
        <v>0.23564610503349276</v>
      </c>
      <c r="V41" s="9"/>
      <c r="Y41">
        <v>11</v>
      </c>
      <c r="Z41" s="10">
        <f>Z23</f>
        <v>4.6764641489024328</v>
      </c>
      <c r="AA41" s="10">
        <f>AA23</f>
        <v>9.4167166088466949</v>
      </c>
      <c r="AB41">
        <f t="shared" si="25"/>
        <v>2.1063757735617898E-5</v>
      </c>
      <c r="AC41">
        <f t="shared" si="25"/>
        <v>3.8307463032685189E-10</v>
      </c>
      <c r="AD41">
        <f t="shared" si="26"/>
        <v>9.9999999999999994E-12</v>
      </c>
      <c r="AE41" s="9">
        <v>0.36699999999999999</v>
      </c>
      <c r="AF41" s="10">
        <v>0.38</v>
      </c>
      <c r="AG41" s="10">
        <f t="shared" si="27"/>
        <v>0.62</v>
      </c>
      <c r="AH41" s="9">
        <f t="shared" si="28"/>
        <v>0.36121121118149779</v>
      </c>
      <c r="AI41" s="9"/>
    </row>
    <row r="42" spans="10:36" x14ac:dyDescent="0.3">
      <c r="J42">
        <v>11.5</v>
      </c>
      <c r="K42" s="10">
        <f>K23</f>
        <v>4.4879289322119522</v>
      </c>
      <c r="L42" s="10">
        <f>L23</f>
        <v>9.5398482890680061</v>
      </c>
      <c r="M42">
        <f t="shared" si="20"/>
        <v>3.2514049890310423E-5</v>
      </c>
      <c r="N42">
        <f t="shared" si="20"/>
        <v>2.8850391501416097E-10</v>
      </c>
      <c r="O42">
        <f t="shared" si="21"/>
        <v>3.1622776601683669E-12</v>
      </c>
      <c r="P42" s="10">
        <v>0.24357000000000001</v>
      </c>
      <c r="Q42" s="10">
        <f t="shared" si="22"/>
        <v>2.8898048422552811E-2</v>
      </c>
      <c r="R42" s="10">
        <f t="shared" si="23"/>
        <v>0.97110195157744716</v>
      </c>
      <c r="S42" s="9">
        <f t="shared" si="29"/>
        <v>7.0386969697059281E-3</v>
      </c>
      <c r="T42" s="9">
        <f t="shared" si="30"/>
        <v>0.23396680336666306</v>
      </c>
      <c r="U42" s="9">
        <f t="shared" si="24"/>
        <v>0.241005500336369</v>
      </c>
      <c r="V42" s="9"/>
      <c r="W42" s="8"/>
      <c r="Y42">
        <v>11.5</v>
      </c>
      <c r="Z42" s="10">
        <f>Z23</f>
        <v>4.6764641489024328</v>
      </c>
      <c r="AA42" s="10">
        <f>AA23</f>
        <v>9.4167166088466949</v>
      </c>
      <c r="AB42">
        <f t="shared" si="25"/>
        <v>2.1063757735617898E-5</v>
      </c>
      <c r="AC42">
        <f t="shared" si="25"/>
        <v>3.8307463032685189E-10</v>
      </c>
      <c r="AD42">
        <f t="shared" si="26"/>
        <v>3.1622776601683669E-12</v>
      </c>
      <c r="AE42" s="9">
        <v>0.36699999999999999</v>
      </c>
      <c r="AF42" s="10">
        <v>0.38</v>
      </c>
      <c r="AG42" s="10">
        <f t="shared" si="27"/>
        <v>0.62</v>
      </c>
      <c r="AH42" s="9">
        <f t="shared" si="28"/>
        <v>0.36513701712460928</v>
      </c>
      <c r="AI42" s="9"/>
      <c r="AJ42" s="8"/>
    </row>
    <row r="43" spans="10:36" x14ac:dyDescent="0.3">
      <c r="J43">
        <v>12</v>
      </c>
      <c r="K43" s="10">
        <f>K23</f>
        <v>4.4879289322119522</v>
      </c>
      <c r="L43" s="10">
        <f>L23</f>
        <v>9.5398482890680061</v>
      </c>
      <c r="M43">
        <f t="shared" si="20"/>
        <v>3.2514049890310423E-5</v>
      </c>
      <c r="N43">
        <f t="shared" si="20"/>
        <v>2.8850391501416097E-10</v>
      </c>
      <c r="O43">
        <f t="shared" si="21"/>
        <v>9.9999999999999998E-13</v>
      </c>
      <c r="P43" s="10">
        <v>0.24357000000000001</v>
      </c>
      <c r="Q43" s="10">
        <f t="shared" si="22"/>
        <v>2.8898048422552811E-2</v>
      </c>
      <c r="R43" s="10">
        <f t="shared" si="23"/>
        <v>0.97110195157744716</v>
      </c>
      <c r="S43" s="9">
        <f t="shared" si="29"/>
        <v>7.0386974377994677E-3</v>
      </c>
      <c r="T43" s="9">
        <f t="shared" si="30"/>
        <v>0.23571427953504578</v>
      </c>
      <c r="U43" s="9">
        <f t="shared" si="24"/>
        <v>0.24275297697284526</v>
      </c>
      <c r="V43" s="9"/>
      <c r="W43" s="11" t="s">
        <v>108</v>
      </c>
      <c r="Y43">
        <v>12</v>
      </c>
      <c r="Z43" s="10">
        <f>Z23</f>
        <v>4.6764641489024328</v>
      </c>
      <c r="AA43" s="10">
        <f>AA23</f>
        <v>9.4167166088466949</v>
      </c>
      <c r="AB43">
        <f t="shared" si="25"/>
        <v>2.1063757735617898E-5</v>
      </c>
      <c r="AC43">
        <f t="shared" si="25"/>
        <v>3.8307463032685189E-10</v>
      </c>
      <c r="AD43">
        <f t="shared" si="26"/>
        <v>9.9999999999999998E-13</v>
      </c>
      <c r="AE43" s="9">
        <v>0.36699999999999999</v>
      </c>
      <c r="AF43" s="10">
        <v>0.38</v>
      </c>
      <c r="AG43" s="10">
        <f t="shared" si="27"/>
        <v>0.62</v>
      </c>
      <c r="AH43" s="9">
        <f t="shared" si="28"/>
        <v>0.36640755643582312</v>
      </c>
      <c r="AI43" s="9"/>
      <c r="AJ43" s="11" t="s">
        <v>108</v>
      </c>
    </row>
    <row r="44" spans="10:36" x14ac:dyDescent="0.3">
      <c r="W44" s="12">
        <f>SUM(W26:W40)</f>
        <v>1.8807198730456879E-3</v>
      </c>
      <c r="AJ44" s="12">
        <f>SUM(AJ26:AJ40)</f>
        <v>1.9476339400458984E-2</v>
      </c>
    </row>
  </sheetData>
  <mergeCells count="8">
    <mergeCell ref="J24:U24"/>
    <mergeCell ref="Y24:AH24"/>
    <mergeCell ref="B1:D1"/>
    <mergeCell ref="B8:D8"/>
    <mergeCell ref="B15:D15"/>
    <mergeCell ref="B22:D22"/>
    <mergeCell ref="J2:U2"/>
    <mergeCell ref="Y2:A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Fitting Lines</vt:lpstr>
      <vt:lpstr>Volume Carboxyl Density</vt:lpstr>
      <vt:lpstr>Data!_190116cr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</dc:creator>
  <cp:lastModifiedBy>Cody Ritt</cp:lastModifiedBy>
  <dcterms:created xsi:type="dcterms:W3CDTF">2019-01-17T00:54:44Z</dcterms:created>
  <dcterms:modified xsi:type="dcterms:W3CDTF">2020-08-06T14:13:05Z</dcterms:modified>
</cp:coreProperties>
</file>