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le PhD\18 COO buried vs surface Project\Public Repository\"/>
    </mc:Choice>
  </mc:AlternateContent>
  <xr:revisionPtr revIDLastSave="0" documentId="13_ncr:1_{1423BD4F-AB3A-4721-987E-30EFE1631719}" xr6:coauthVersionLast="45" xr6:coauthVersionMax="45" xr10:uidLastSave="{00000000-0000-0000-0000-000000000000}"/>
  <bookViews>
    <workbookView xWindow="30375" yWindow="1725" windowWidth="23625" windowHeight="13725" activeTab="1" xr2:uid="{A60666FA-D843-4500-B239-C672ADA9F7F9}"/>
  </bookViews>
  <sheets>
    <sheet name="NF270" sheetId="5" r:id="rId1"/>
    <sheet name="Sheet2" sheetId="6" r:id="rId2"/>
  </sheets>
  <definedNames>
    <definedName name="solver_adj" localSheetId="1" hidden="1">Sheet2!$V$10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Sheet2!$V$15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9" i="6" l="1"/>
  <c r="W18" i="6"/>
  <c r="U19" i="6"/>
  <c r="U18" i="6"/>
  <c r="R4" i="6"/>
  <c r="R5" i="6"/>
  <c r="S19" i="6"/>
  <c r="S18" i="6"/>
  <c r="U14" i="6"/>
  <c r="V14" i="6" s="1"/>
  <c r="U13" i="6"/>
  <c r="V13" i="6" s="1"/>
  <c r="U12" i="6"/>
  <c r="V12" i="6" s="1"/>
  <c r="Q19" i="6"/>
  <c r="Q18" i="6"/>
  <c r="H7" i="6"/>
  <c r="I7" i="6" s="1"/>
  <c r="J7" i="6" s="1"/>
  <c r="H11" i="6"/>
  <c r="I11" i="6" s="1"/>
  <c r="J11" i="6" s="1"/>
  <c r="H15" i="6"/>
  <c r="I15" i="6" s="1"/>
  <c r="J15" i="6" s="1"/>
  <c r="H19" i="6"/>
  <c r="I19" i="6" s="1"/>
  <c r="J19" i="6" s="1"/>
  <c r="G6" i="6"/>
  <c r="H6" i="6" s="1"/>
  <c r="I6" i="6" s="1"/>
  <c r="J6" i="6" s="1"/>
  <c r="G7" i="6"/>
  <c r="G8" i="6"/>
  <c r="H8" i="6" s="1"/>
  <c r="I8" i="6" s="1"/>
  <c r="J8" i="6" s="1"/>
  <c r="G9" i="6"/>
  <c r="H9" i="6" s="1"/>
  <c r="I9" i="6" s="1"/>
  <c r="J9" i="6" s="1"/>
  <c r="G10" i="6"/>
  <c r="H10" i="6" s="1"/>
  <c r="I10" i="6" s="1"/>
  <c r="J10" i="6" s="1"/>
  <c r="G11" i="6"/>
  <c r="G12" i="6"/>
  <c r="H12" i="6" s="1"/>
  <c r="I12" i="6" s="1"/>
  <c r="J12" i="6" s="1"/>
  <c r="G13" i="6"/>
  <c r="H13" i="6" s="1"/>
  <c r="I13" i="6" s="1"/>
  <c r="J13" i="6" s="1"/>
  <c r="G14" i="6"/>
  <c r="H14" i="6" s="1"/>
  <c r="I14" i="6" s="1"/>
  <c r="J14" i="6" s="1"/>
  <c r="G15" i="6"/>
  <c r="G16" i="6"/>
  <c r="H16" i="6" s="1"/>
  <c r="I16" i="6" s="1"/>
  <c r="J16" i="6" s="1"/>
  <c r="G17" i="6"/>
  <c r="H17" i="6" s="1"/>
  <c r="I17" i="6" s="1"/>
  <c r="J17" i="6" s="1"/>
  <c r="G18" i="6"/>
  <c r="H18" i="6" s="1"/>
  <c r="I18" i="6" s="1"/>
  <c r="J18" i="6" s="1"/>
  <c r="G19" i="6"/>
  <c r="G20" i="6"/>
  <c r="H20" i="6" s="1"/>
  <c r="I20" i="6" s="1"/>
  <c r="J20" i="6" s="1"/>
  <c r="L13" i="6" l="1"/>
  <c r="K13" i="6"/>
  <c r="K16" i="6"/>
  <c r="L16" i="6"/>
  <c r="L7" i="6"/>
  <c r="K7" i="6"/>
  <c r="L19" i="6"/>
  <c r="K19" i="6"/>
  <c r="K10" i="6"/>
  <c r="L10" i="6"/>
  <c r="V15" i="6"/>
  <c r="G5" i="6" l="1"/>
  <c r="H5" i="6" s="1"/>
  <c r="I5" i="6" s="1"/>
  <c r="J5" i="6" s="1"/>
  <c r="G4" i="6"/>
  <c r="H4" i="6" s="1"/>
  <c r="I4" i="6" s="1"/>
  <c r="J4" i="6" s="1"/>
  <c r="G3" i="6"/>
  <c r="H3" i="6" s="1"/>
  <c r="I3" i="6" s="1"/>
  <c r="J3" i="6" s="1"/>
  <c r="K4" i="6" l="1"/>
  <c r="L4" i="6"/>
  <c r="G2" i="5"/>
  <c r="J9" i="5"/>
  <c r="J13" i="5"/>
  <c r="H2" i="5"/>
  <c r="I2" i="5" s="1"/>
  <c r="J2" i="5" s="1"/>
  <c r="G22" i="5"/>
  <c r="H22" i="5" s="1"/>
  <c r="I22" i="5" s="1"/>
  <c r="J22" i="5" s="1"/>
  <c r="G23" i="5"/>
  <c r="H23" i="5" s="1"/>
  <c r="I23" i="5" s="1"/>
  <c r="J23" i="5" s="1"/>
  <c r="G24" i="5"/>
  <c r="H24" i="5" s="1"/>
  <c r="I24" i="5" s="1"/>
  <c r="G25" i="5"/>
  <c r="H25" i="5" s="1"/>
  <c r="I25" i="5" s="1"/>
  <c r="G26" i="5"/>
  <c r="H26" i="5" s="1"/>
  <c r="I26" i="5" s="1"/>
  <c r="J26" i="5" s="1"/>
  <c r="G27" i="5"/>
  <c r="H27" i="5" s="1"/>
  <c r="I27" i="5" s="1"/>
  <c r="J27" i="5" s="1"/>
  <c r="G28" i="5"/>
  <c r="H28" i="5" s="1"/>
  <c r="I28" i="5" s="1"/>
  <c r="J28" i="5" s="1"/>
  <c r="G29" i="5"/>
  <c r="H29" i="5" s="1"/>
  <c r="I29" i="5" s="1"/>
  <c r="G30" i="5"/>
  <c r="H30" i="5" s="1"/>
  <c r="I30" i="5" s="1"/>
  <c r="J30" i="5" s="1"/>
  <c r="G31" i="5"/>
  <c r="H31" i="5" s="1"/>
  <c r="I31" i="5" s="1"/>
  <c r="J31" i="5" s="1"/>
  <c r="G32" i="5"/>
  <c r="H32" i="5" s="1"/>
  <c r="I32" i="5" s="1"/>
  <c r="J32" i="5" s="1"/>
  <c r="G33" i="5"/>
  <c r="H33" i="5" s="1"/>
  <c r="I33" i="5" s="1"/>
  <c r="G34" i="5"/>
  <c r="H34" i="5" s="1"/>
  <c r="I34" i="5" s="1"/>
  <c r="J34" i="5" s="1"/>
  <c r="G35" i="5"/>
  <c r="H35" i="5" s="1"/>
  <c r="I35" i="5" s="1"/>
  <c r="J35" i="5" s="1"/>
  <c r="G36" i="5"/>
  <c r="H36" i="5" s="1"/>
  <c r="I36" i="5" s="1"/>
  <c r="J36" i="5" s="1"/>
  <c r="G37" i="5"/>
  <c r="H37" i="5" s="1"/>
  <c r="I37" i="5" s="1"/>
  <c r="J37" i="5" s="1"/>
  <c r="G38" i="5"/>
  <c r="H38" i="5" s="1"/>
  <c r="I38" i="5" s="1"/>
  <c r="J38" i="5" s="1"/>
  <c r="G3" i="5"/>
  <c r="H3" i="5" s="1"/>
  <c r="I3" i="5" s="1"/>
  <c r="J3" i="5" s="1"/>
  <c r="G4" i="5"/>
  <c r="H4" i="5" s="1"/>
  <c r="I4" i="5" s="1"/>
  <c r="J4" i="5" s="1"/>
  <c r="G5" i="5"/>
  <c r="H5" i="5" s="1"/>
  <c r="I5" i="5" s="1"/>
  <c r="J5" i="5" s="1"/>
  <c r="G6" i="5"/>
  <c r="H6" i="5" s="1"/>
  <c r="I6" i="5" s="1"/>
  <c r="G7" i="5"/>
  <c r="H7" i="5" s="1"/>
  <c r="I7" i="5" s="1"/>
  <c r="J7" i="5" s="1"/>
  <c r="G8" i="5"/>
  <c r="H8" i="5"/>
  <c r="I8" i="5" s="1"/>
  <c r="J8" i="5" s="1"/>
  <c r="G9" i="5"/>
  <c r="H9" i="5" s="1"/>
  <c r="I9" i="5" s="1"/>
  <c r="G10" i="5"/>
  <c r="H10" i="5" s="1"/>
  <c r="I10" i="5" s="1"/>
  <c r="J10" i="5" s="1"/>
  <c r="G11" i="5"/>
  <c r="H11" i="5" s="1"/>
  <c r="I11" i="5" s="1"/>
  <c r="G12" i="5"/>
  <c r="H12" i="5" s="1"/>
  <c r="I12" i="5" s="1"/>
  <c r="J12" i="5" s="1"/>
  <c r="G13" i="5"/>
  <c r="H13" i="5" s="1"/>
  <c r="I13" i="5" s="1"/>
  <c r="G14" i="5"/>
  <c r="H14" i="5"/>
  <c r="I14" i="5" s="1"/>
  <c r="J14" i="5" s="1"/>
  <c r="G15" i="5"/>
  <c r="H15" i="5" s="1"/>
  <c r="I15" i="5" s="1"/>
  <c r="J15" i="5" s="1"/>
  <c r="G16" i="5"/>
  <c r="H16" i="5" s="1"/>
  <c r="I16" i="5" s="1"/>
  <c r="J16" i="5" s="1"/>
  <c r="G17" i="5"/>
  <c r="H17" i="5" s="1"/>
  <c r="I17" i="5" s="1"/>
  <c r="J17" i="5" s="1"/>
  <c r="G18" i="5"/>
  <c r="H18" i="5" s="1"/>
  <c r="I18" i="5" s="1"/>
  <c r="G19" i="5"/>
  <c r="H19" i="5" s="1"/>
  <c r="I19" i="5" s="1"/>
  <c r="J19" i="5" s="1"/>
  <c r="G21" i="5"/>
  <c r="H21" i="5" s="1"/>
  <c r="I21" i="5" s="1"/>
  <c r="J21" i="5" s="1"/>
  <c r="J18" i="5" l="1"/>
  <c r="L18" i="5" s="1"/>
  <c r="K34" i="5"/>
  <c r="J11" i="5"/>
  <c r="K12" i="5" s="1"/>
  <c r="J24" i="5"/>
  <c r="K25" i="5" s="1"/>
  <c r="J6" i="5"/>
  <c r="L6" i="5" s="1"/>
  <c r="J25" i="5"/>
  <c r="L25" i="5" s="1"/>
  <c r="J29" i="5"/>
  <c r="L28" i="5" s="1"/>
  <c r="J33" i="5"/>
  <c r="K28" i="5"/>
  <c r="L22" i="5"/>
  <c r="L31" i="5"/>
  <c r="K31" i="5"/>
  <c r="L9" i="5"/>
  <c r="L15" i="5"/>
  <c r="L3" i="5"/>
  <c r="K15" i="5"/>
  <c r="L34" i="5"/>
  <c r="K22" i="5"/>
  <c r="K37" i="5"/>
  <c r="L37" i="5"/>
  <c r="K18" i="5"/>
  <c r="K6" i="5"/>
  <c r="K3" i="5"/>
  <c r="K9" i="5"/>
  <c r="L12" i="5" l="1"/>
  <c r="M25" i="5"/>
  <c r="M28" i="5"/>
  <c r="M6" i="5"/>
  <c r="M9" i="5"/>
</calcChain>
</file>

<file path=xl/sharedStrings.xml><?xml version="1.0" encoding="utf-8"?>
<sst xmlns="http://schemas.openxmlformats.org/spreadsheetml/2006/main" count="33" uniqueCount="21">
  <si>
    <t>Ro</t>
  </si>
  <si>
    <t>Rr</t>
  </si>
  <si>
    <t>A/B</t>
  </si>
  <si>
    <t>α</t>
  </si>
  <si>
    <t>Membrane</t>
  </si>
  <si>
    <t>ΔP (bar)</t>
  </si>
  <si>
    <t>Δπ (bar)</t>
  </si>
  <si>
    <t>Jw (LMH)</t>
  </si>
  <si>
    <t>exp(Jw/kf)</t>
  </si>
  <si>
    <t>pH</t>
  </si>
  <si>
    <t>NF270 - 2 mM</t>
  </si>
  <si>
    <t>NF270 - 20 mM</t>
  </si>
  <si>
    <t>Avg α</t>
  </si>
  <si>
    <t>StdDev</t>
  </si>
  <si>
    <t>1L</t>
  </si>
  <si>
    <t>2L</t>
  </si>
  <si>
    <t>5L</t>
  </si>
  <si>
    <t>2 mM NaCl</t>
  </si>
  <si>
    <t>slope</t>
  </si>
  <si>
    <t>Error^2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</si>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</sst>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 mM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'NF270'!$L$3:$L$18</c:f>
                <c:numCache>
                  <c:formatCode>General</c:formatCode>
                  <c:ptCount val="16"/>
                  <c:pt idx="0">
                    <c:v>18.062253234509932</c:v>
                  </c:pt>
                  <c:pt idx="3">
                    <c:v>12.841294867280151</c:v>
                  </c:pt>
                  <c:pt idx="6">
                    <c:v>105.56524794451245</c:v>
                  </c:pt>
                  <c:pt idx="9">
                    <c:v>199.08933922653054</c:v>
                  </c:pt>
                  <c:pt idx="12">
                    <c:v>329.20211979630398</c:v>
                  </c:pt>
                  <c:pt idx="15">
                    <c:v>140.06530766312653</c:v>
                  </c:pt>
                </c:numCache>
              </c:numRef>
            </c:plus>
            <c:minus>
              <c:numRef>
                <c:f>'NF270'!$L$3:$L$18</c:f>
                <c:numCache>
                  <c:formatCode>General</c:formatCode>
                  <c:ptCount val="16"/>
                  <c:pt idx="0">
                    <c:v>18.062253234509932</c:v>
                  </c:pt>
                  <c:pt idx="3">
                    <c:v>12.841294867280151</c:v>
                  </c:pt>
                  <c:pt idx="6">
                    <c:v>105.56524794451245</c:v>
                  </c:pt>
                  <c:pt idx="9">
                    <c:v>199.08933922653054</c:v>
                  </c:pt>
                  <c:pt idx="12">
                    <c:v>329.20211979630398</c:v>
                  </c:pt>
                  <c:pt idx="15">
                    <c:v>140.06530766312653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'NF270'!$K$3:$K$18</c:f>
              <c:numCache>
                <c:formatCode>0.0</c:formatCode>
                <c:ptCount val="16"/>
                <c:pt idx="0">
                  <c:v>182.5365723936055</c:v>
                </c:pt>
                <c:pt idx="3">
                  <c:v>175.99923202451166</c:v>
                </c:pt>
                <c:pt idx="6">
                  <c:v>1029.4136763102581</c:v>
                </c:pt>
                <c:pt idx="9">
                  <c:v>1316.3258899666187</c:v>
                </c:pt>
                <c:pt idx="12">
                  <c:v>2775.7750000620854</c:v>
                </c:pt>
                <c:pt idx="15">
                  <c:v>4427.6658725006273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C2-415D-909F-25664D7CA827}"/>
            </c:ext>
          </c:extLst>
        </c:ser>
        <c:ser>
          <c:idx val="1"/>
          <c:order val="1"/>
          <c:tx>
            <c:v>20 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'NF270'!$L$22:$L$37</c:f>
                <c:numCache>
                  <c:formatCode>General</c:formatCode>
                  <c:ptCount val="16"/>
                  <c:pt idx="0">
                    <c:v>17.015844579366693</c:v>
                  </c:pt>
                  <c:pt idx="3">
                    <c:v>18.645213168201551</c:v>
                  </c:pt>
                  <c:pt idx="6">
                    <c:v>91.608104747890309</c:v>
                  </c:pt>
                  <c:pt idx="9">
                    <c:v>31.530317122386229</c:v>
                  </c:pt>
                  <c:pt idx="12">
                    <c:v>159.69558962156236</c:v>
                  </c:pt>
                  <c:pt idx="15">
                    <c:v>498.91756393851574</c:v>
                  </c:pt>
                </c:numCache>
              </c:numRef>
            </c:plus>
            <c:minus>
              <c:numRef>
                <c:f>'NF270'!$L$22:$L$37</c:f>
                <c:numCache>
                  <c:formatCode>General</c:formatCode>
                  <c:ptCount val="16"/>
                  <c:pt idx="0">
                    <c:v>17.015844579366693</c:v>
                  </c:pt>
                  <c:pt idx="3">
                    <c:v>18.645213168201551</c:v>
                  </c:pt>
                  <c:pt idx="6">
                    <c:v>91.608104747890309</c:v>
                  </c:pt>
                  <c:pt idx="9">
                    <c:v>31.530317122386229</c:v>
                  </c:pt>
                  <c:pt idx="12">
                    <c:v>159.69558962156236</c:v>
                  </c:pt>
                  <c:pt idx="15">
                    <c:v>498.91756393851574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'NF270'!$K$22:$K$37</c:f>
              <c:numCache>
                <c:formatCode>0.0</c:formatCode>
                <c:ptCount val="16"/>
                <c:pt idx="0">
                  <c:v>254.64574989975236</c:v>
                </c:pt>
                <c:pt idx="3">
                  <c:v>140.36446043400949</c:v>
                </c:pt>
                <c:pt idx="6">
                  <c:v>448.56679354557809</c:v>
                </c:pt>
                <c:pt idx="9">
                  <c:v>532.72229787619528</c:v>
                </c:pt>
                <c:pt idx="12">
                  <c:v>1050.9771543282966</c:v>
                </c:pt>
                <c:pt idx="15">
                  <c:v>1901.3553676500776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2-415D-909F-25664D7CA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45312"/>
        <c:axId val="1788131728"/>
      </c:barChart>
      <c:catAx>
        <c:axId val="17878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31728"/>
        <c:crosses val="autoZero"/>
        <c:auto val="1"/>
        <c:lblAlgn val="ctr"/>
        <c:lblOffset val="100"/>
        <c:noMultiLvlLbl val="0"/>
      </c:catAx>
      <c:valAx>
        <c:axId val="17881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Water-Salt Permselectivity, Pw/Ps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453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613167104111986"/>
                  <c:y val="0.17057414698162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Sheet2!$P$12:$P$14</c:f>
              <c:numCache>
                <c:formatCode>General</c:formatCode>
                <c:ptCount val="3"/>
                <c:pt idx="0">
                  <c:v>3.2849900000000001</c:v>
                </c:pt>
                <c:pt idx="1">
                  <c:v>1.76166</c:v>
                </c:pt>
                <c:pt idx="2">
                  <c:v>1.4836800000000001</c:v>
                </c:pt>
              </c:numCache>
            </c:numRef>
          </c:xVal>
          <c:yVal>
            <c:numRef>
              <c:f>Sheet2!$Q$12:$Q$14</c:f>
              <c:numCache>
                <c:formatCode>General</c:formatCode>
                <c:ptCount val="3"/>
                <c:pt idx="0">
                  <c:v>79.495242851383139</c:v>
                </c:pt>
                <c:pt idx="1">
                  <c:v>200.65922597304549</c:v>
                </c:pt>
                <c:pt idx="2">
                  <c:v>318.35828967647262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A-464C-8B29-DCB3668E86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583377077865266"/>
                  <c:y val="-2.8780621172353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Sheet2!$S$12:$S$14</c:f>
              <c:numCache>
                <c:formatCode>General</c:formatCode>
                <c:ptCount val="3"/>
                <c:pt idx="0">
                  <c:v>3.3458999999999999</c:v>
                </c:pt>
                <c:pt idx="1">
                  <c:v>2.4735299999999998</c:v>
                </c:pt>
                <c:pt idx="2">
                  <c:v>1.9415</c:v>
                </c:pt>
              </c:numCache>
            </c:numRef>
          </c:xVal>
          <c:yVal>
            <c:numRef>
              <c:f>Sheet2!$T$12:$T$14</c:f>
              <c:numCache>
                <c:formatCode>General</c:formatCode>
                <c:ptCount val="3"/>
                <c:pt idx="0">
                  <c:v>430.64112718027405</c:v>
                </c:pt>
                <c:pt idx="1">
                  <c:v>1040.9550228990299</c:v>
                </c:pt>
                <c:pt idx="2">
                  <c:v>1203.5048399462742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A-464C-8B29-DCB3668E8661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Sheet2!$P$18:$P$19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Sheet2!$Q$18:$Q$19</c:f>
              <c:numCache>
                <c:formatCode>General</c:formatCode>
                <c:ptCount val="2"/>
                <c:pt idx="0">
                  <c:v>571.39</c:v>
                </c:pt>
                <c:pt idx="1">
                  <c:v>1.91107359755217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0A-464C-8B29-DCB3668E8661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Sheet2!$P$18:$P$19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Sheet2!$S$18:$S$19</c:f>
              <c:numCache>
                <c:formatCode>General</c:formatCode>
                <c:ptCount val="2"/>
                <c:pt idx="0">
                  <c:v>3920.5028544491852</c:v>
                </c:pt>
                <c:pt idx="1">
                  <c:v>13.112531710855555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0A-464C-8B29-DCB3668E866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Sheet2!$P$4</c:f>
              <c:numCache>
                <c:formatCode>General</c:formatCode>
                <c:ptCount val="1"/>
                <c:pt idx="0">
                  <c:v>14.01923</c:v>
                </c:pt>
              </c:numCache>
            </c:numRef>
          </c:xVal>
          <c:yVal>
            <c:numRef>
              <c:f>Sheet2!$Q$4</c:f>
              <c:numCache>
                <c:formatCode>General</c:formatCode>
                <c:ptCount val="1"/>
                <c:pt idx="0">
                  <c:v>1029.4000000000001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0A-464C-8B29-DCB3668E866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Sheet2!$P$5</c:f>
              <c:numCache>
                <c:formatCode>General</c:formatCode>
                <c:ptCount val="1"/>
                <c:pt idx="0">
                  <c:v>16.35256</c:v>
                </c:pt>
              </c:numCache>
            </c:numRef>
          </c:xVal>
          <c:yVal>
            <c:numRef>
              <c:f>Sheet2!$Q$5</c:f>
              <c:numCache>
                <c:formatCode>General</c:formatCode>
                <c:ptCount val="1"/>
                <c:pt idx="0">
                  <c:v>4427.7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0A-464C-8B29-DCB3668E8661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Sheet2!$P$18:$P$19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Sheet2!$U$18:$U$19</c:f>
              <c:numCache>
                <c:formatCode>General</c:formatCode>
                <c:ptCount val="2"/>
                <c:pt idx="0">
                  <c:v>85999.09</c:v>
                </c:pt>
                <c:pt idx="1">
                  <c:v>287.63294827090573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0A-464C-8B29-DCB3668E8661}"/>
            </c:ext>
          </c:extLst>
        </c:ser>
        <c:ser>
          <c:idx val="7"/>
          <c:order val="7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Sheet2!$P$18:$P$19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Sheet2!$W$18:$W$19</c:f>
              <c:numCache>
                <c:formatCode>General</c:formatCode>
                <c:ptCount val="2"/>
                <c:pt idx="0">
                  <c:v>478793.1</c:v>
                </c:pt>
                <c:pt idx="1">
                  <c:v>1601.3735838921855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0A-464C-8B29-DCB3668E8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87064"/>
        <c:axId val="960979848"/>
      </c:scatterChart>
      <c:valAx>
        <c:axId val="960987064"/>
        <c:scaling>
          <c:logBase val="10"/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79848"/>
        <c:crosses val="autoZero"/>
        <c:crossBetween val="midCat"/>
      </c:valAx>
      <c:valAx>
        <c:axId val="96097984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8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14</xdr:row>
      <xdr:rowOff>4762</xdr:rowOff>
    </xdr:from>
    <xdr:to>
      <xdr:col>8</xdr:col>
      <xdr:colOff>495300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8D89-ACD6-4C9E-82A9-AAD38AA58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156210</xdr:rowOff>
    </xdr:from>
    <xdr:to>
      <xdr:col>14</xdr:col>
      <xdr:colOff>114300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C6D2B-BF7D-4EF0-9103-4E04D7E09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65D4-0728-4281-BF5E-6EAE8B86264D}">
  <dimension ref="A1:AE43"/>
  <sheetViews>
    <sheetView topLeftCell="C1" workbookViewId="0">
      <selection activeCell="B1" sqref="B1:L5"/>
    </sheetView>
  </sheetViews>
  <sheetFormatPr defaultRowHeight="14.4" x14ac:dyDescent="0.3"/>
  <cols>
    <col min="1" max="1" width="14" bestFit="1" customWidth="1"/>
    <col min="2" max="2" width="17.88671875" customWidth="1"/>
    <col min="6" max="6" width="9.5546875" bestFit="1" customWidth="1"/>
    <col min="7" max="7" width="10.33203125" bestFit="1" customWidth="1"/>
    <col min="14" max="14" width="9.88671875" bestFit="1" customWidth="1"/>
    <col min="20" max="20" width="9.88671875" bestFit="1" customWidth="1"/>
    <col min="26" max="26" width="9.88671875" bestFit="1" customWidth="1"/>
  </cols>
  <sheetData>
    <row r="1" spans="1:31" x14ac:dyDescent="0.3">
      <c r="A1" s="3" t="s">
        <v>4</v>
      </c>
      <c r="B1" s="3" t="s">
        <v>9</v>
      </c>
      <c r="C1" s="3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</v>
      </c>
      <c r="I1" s="3" t="s">
        <v>1</v>
      </c>
      <c r="J1" s="1" t="s">
        <v>3</v>
      </c>
      <c r="K1" s="1" t="s">
        <v>12</v>
      </c>
      <c r="L1" s="1" t="s">
        <v>13</v>
      </c>
      <c r="M1" s="3"/>
      <c r="O1" s="3"/>
      <c r="P1" s="3"/>
      <c r="AE1" s="3"/>
    </row>
    <row r="2" spans="1:31" x14ac:dyDescent="0.3">
      <c r="A2" s="6" t="s">
        <v>10</v>
      </c>
      <c r="B2">
        <v>3.5</v>
      </c>
      <c r="C2">
        <v>24.86</v>
      </c>
      <c r="D2">
        <v>10.342499999999999</v>
      </c>
      <c r="E2">
        <v>0.01</v>
      </c>
      <c r="F2" s="5">
        <v>153.89999999999998</v>
      </c>
      <c r="G2">
        <f>EXP(F2/100)</f>
        <v>4.6599280122350342</v>
      </c>
      <c r="H2">
        <f t="shared" ref="H2:H19" si="0">(C2/(100-C2))*G2/(D2-E2*G2)</f>
        <v>0.1497424019178237</v>
      </c>
      <c r="I2" s="2">
        <f>H2*(D2-E2)/(1+(H2*(D2-E2)))</f>
        <v>0.60741412060920463</v>
      </c>
      <c r="J2">
        <f>((I2/(1-I2))/((D2-E2)*0.000726))</f>
        <v>206.25675195292527</v>
      </c>
      <c r="N2" s="5"/>
    </row>
    <row r="3" spans="1:31" x14ac:dyDescent="0.3">
      <c r="A3" s="6"/>
      <c r="B3">
        <v>3.5</v>
      </c>
      <c r="C3">
        <v>23.34</v>
      </c>
      <c r="D3">
        <v>10.342499999999999</v>
      </c>
      <c r="E3">
        <v>0.01</v>
      </c>
      <c r="F3" s="5">
        <v>148</v>
      </c>
      <c r="G3">
        <f t="shared" ref="G3:G19" si="1">EXP(F3/100)</f>
        <v>4.392945680918757</v>
      </c>
      <c r="H3">
        <f t="shared" si="0"/>
        <v>0.12987062238738534</v>
      </c>
      <c r="I3" s="2">
        <f t="shared" ref="I3:I19" si="2">H3*(D3-E3)/(1+(H3*(D3-E3)))</f>
        <v>0.57299413459796011</v>
      </c>
      <c r="J3">
        <f t="shared" ref="J3:J19" si="3">((I3/(1-I3))/((D3-E3)*0.000726))</f>
        <v>178.88515480356111</v>
      </c>
      <c r="K3" s="5">
        <f>AVERAGE(J2:J4)</f>
        <v>182.5365723936055</v>
      </c>
      <c r="L3" s="5">
        <f>_xlfn.STDEV.P(J2:J4)</f>
        <v>18.062253234509932</v>
      </c>
      <c r="N3" s="5"/>
      <c r="O3" s="4"/>
      <c r="P3" s="4"/>
      <c r="R3" s="4"/>
      <c r="S3" s="4"/>
    </row>
    <row r="4" spans="1:31" x14ac:dyDescent="0.3">
      <c r="A4" s="6"/>
      <c r="B4">
        <v>3.5</v>
      </c>
      <c r="C4">
        <v>22.79</v>
      </c>
      <c r="D4">
        <v>10.342499999999999</v>
      </c>
      <c r="E4">
        <v>0.01</v>
      </c>
      <c r="F4" s="5">
        <v>141.5</v>
      </c>
      <c r="G4">
        <f t="shared" si="1"/>
        <v>4.1164864659732601</v>
      </c>
      <c r="H4">
        <f t="shared" si="0"/>
        <v>0.11795163036806361</v>
      </c>
      <c r="I4" s="2">
        <f t="shared" si="2"/>
        <v>0.54929277246099606</v>
      </c>
      <c r="J4">
        <f t="shared" si="3"/>
        <v>162.46781042433005</v>
      </c>
      <c r="K4" s="5"/>
      <c r="L4" s="5"/>
      <c r="N4" s="5"/>
    </row>
    <row r="5" spans="1:31" x14ac:dyDescent="0.3">
      <c r="A5" s="6"/>
      <c r="B5">
        <v>4.8600000000000003</v>
      </c>
      <c r="C5">
        <v>23.15</v>
      </c>
      <c r="D5">
        <v>10.342499999999999</v>
      </c>
      <c r="E5">
        <v>0.01</v>
      </c>
      <c r="F5" s="5">
        <v>157.19999999999999</v>
      </c>
      <c r="G5">
        <f t="shared" si="1"/>
        <v>4.8162711098711855</v>
      </c>
      <c r="H5">
        <f t="shared" si="0"/>
        <v>0.14093525820351607</v>
      </c>
      <c r="I5" s="2">
        <f t="shared" si="2"/>
        <v>0.59286927726359573</v>
      </c>
      <c r="J5">
        <f t="shared" si="3"/>
        <v>194.125700004843</v>
      </c>
      <c r="K5" s="5"/>
      <c r="L5" s="5"/>
      <c r="N5" s="5"/>
    </row>
    <row r="6" spans="1:31" x14ac:dyDescent="0.3">
      <c r="A6" s="6"/>
      <c r="B6">
        <v>4.8600000000000003</v>
      </c>
      <c r="C6">
        <v>20.350000000000001</v>
      </c>
      <c r="D6">
        <v>10.342499999999999</v>
      </c>
      <c r="E6">
        <v>0.01</v>
      </c>
      <c r="F6" s="5">
        <v>158</v>
      </c>
      <c r="G6">
        <f t="shared" si="1"/>
        <v>4.854955811237434</v>
      </c>
      <c r="H6">
        <f t="shared" si="0"/>
        <v>0.12049855577237122</v>
      </c>
      <c r="I6" s="2">
        <f t="shared" si="2"/>
        <v>0.55457588530702717</v>
      </c>
      <c r="J6">
        <f t="shared" si="3"/>
        <v>165.97597213825239</v>
      </c>
      <c r="K6" s="5">
        <f>AVERAGE(J5:J7)</f>
        <v>175.99923202451166</v>
      </c>
      <c r="L6" s="5">
        <f>_xlfn.STDEV.P(J5:J7)</f>
        <v>12.841294867280151</v>
      </c>
      <c r="M6">
        <f>K18/K6</f>
        <v>25.15730223120508</v>
      </c>
      <c r="N6" s="5"/>
      <c r="O6" s="4"/>
      <c r="P6" s="4"/>
      <c r="R6" s="4"/>
      <c r="S6" s="4"/>
    </row>
    <row r="7" spans="1:31" x14ac:dyDescent="0.3">
      <c r="A7" s="6"/>
      <c r="B7">
        <v>4.8600000000000003</v>
      </c>
      <c r="C7">
        <v>22</v>
      </c>
      <c r="D7">
        <v>10.342499999999999</v>
      </c>
      <c r="E7">
        <v>0.01</v>
      </c>
      <c r="F7" s="5">
        <v>149.30000000000001</v>
      </c>
      <c r="G7">
        <f t="shared" si="1"/>
        <v>4.4504267924724257</v>
      </c>
      <c r="H7">
        <f t="shared" si="0"/>
        <v>0.12189251337349914</v>
      </c>
      <c r="I7" s="2">
        <f t="shared" si="2"/>
        <v>0.55741527580089534</v>
      </c>
      <c r="J7">
        <f t="shared" si="3"/>
        <v>167.89602393043958</v>
      </c>
      <c r="K7" s="5"/>
      <c r="L7" s="5"/>
      <c r="N7" s="5"/>
    </row>
    <row r="8" spans="1:31" x14ac:dyDescent="0.3">
      <c r="A8" s="6"/>
      <c r="B8">
        <v>6.51</v>
      </c>
      <c r="C8">
        <v>68.510000000000005</v>
      </c>
      <c r="D8">
        <v>10.342499999999999</v>
      </c>
      <c r="E8">
        <v>0.01</v>
      </c>
      <c r="F8" s="5">
        <v>139.80000000000001</v>
      </c>
      <c r="G8">
        <f t="shared" si="1"/>
        <v>4.0470976719066885</v>
      </c>
      <c r="H8">
        <f t="shared" si="0"/>
        <v>0.85467740658223479</v>
      </c>
      <c r="I8" s="2">
        <f t="shared" si="2"/>
        <v>0.89828047520850862</v>
      </c>
      <c r="J8">
        <f t="shared" si="3"/>
        <v>1177.2416068625826</v>
      </c>
      <c r="K8" s="5"/>
      <c r="L8" s="5"/>
      <c r="N8" s="5"/>
    </row>
    <row r="9" spans="1:31" x14ac:dyDescent="0.3">
      <c r="A9" s="6"/>
      <c r="B9">
        <v>6.51</v>
      </c>
      <c r="C9">
        <v>66.62</v>
      </c>
      <c r="D9">
        <v>10.342499999999999</v>
      </c>
      <c r="E9">
        <v>0.01</v>
      </c>
      <c r="F9" s="5">
        <v>125.7</v>
      </c>
      <c r="G9">
        <f t="shared" si="1"/>
        <v>3.514861071447474</v>
      </c>
      <c r="H9">
        <f t="shared" si="0"/>
        <v>0.68058030622455989</v>
      </c>
      <c r="I9" s="2">
        <f t="shared" si="2"/>
        <v>0.87549949623997692</v>
      </c>
      <c r="J9">
        <f t="shared" si="3"/>
        <v>937.43843832584128</v>
      </c>
      <c r="K9" s="5">
        <f>AVERAGE(J8:J10)</f>
        <v>1029.4136763102581</v>
      </c>
      <c r="L9" s="5">
        <f>_xlfn.STDEV.P(J8:J10)</f>
        <v>105.56524794451245</v>
      </c>
      <c r="M9">
        <f>K18/K9</f>
        <v>4.3011531461003827</v>
      </c>
      <c r="N9" s="5"/>
      <c r="O9" s="4"/>
      <c r="P9" s="4"/>
      <c r="R9" s="4"/>
      <c r="S9" s="4"/>
    </row>
    <row r="10" spans="1:31" x14ac:dyDescent="0.3">
      <c r="A10" s="6"/>
      <c r="B10">
        <v>6.51</v>
      </c>
      <c r="C10">
        <v>66.12</v>
      </c>
      <c r="D10">
        <v>10.342499999999999</v>
      </c>
      <c r="E10">
        <v>0.01</v>
      </c>
      <c r="F10" s="5">
        <v>131.69999999999999</v>
      </c>
      <c r="G10">
        <f t="shared" si="1"/>
        <v>3.7322079416925078</v>
      </c>
      <c r="H10">
        <f t="shared" si="0"/>
        <v>0.70680527419694672</v>
      </c>
      <c r="I10" s="2">
        <f t="shared" si="2"/>
        <v>0.87956255427286301</v>
      </c>
      <c r="J10">
        <f t="shared" si="3"/>
        <v>973.56098374235046</v>
      </c>
      <c r="K10" s="5"/>
      <c r="L10" s="5"/>
      <c r="N10" s="5"/>
    </row>
    <row r="11" spans="1:31" x14ac:dyDescent="0.3">
      <c r="A11" s="6"/>
      <c r="B11">
        <v>8.81</v>
      </c>
      <c r="C11">
        <v>77.489999999999995</v>
      </c>
      <c r="D11">
        <v>10.342499999999999</v>
      </c>
      <c r="E11">
        <v>0.01</v>
      </c>
      <c r="F11" s="5">
        <v>124.5</v>
      </c>
      <c r="G11">
        <f t="shared" si="1"/>
        <v>3.472934799336826</v>
      </c>
      <c r="H11">
        <f t="shared" si="0"/>
        <v>1.159850593166901</v>
      </c>
      <c r="I11" s="2">
        <f t="shared" si="2"/>
        <v>0.9229830587028045</v>
      </c>
      <c r="J11">
        <f t="shared" si="3"/>
        <v>1597.5903487147409</v>
      </c>
      <c r="K11" s="5"/>
      <c r="L11" s="5"/>
      <c r="N11" s="5"/>
    </row>
    <row r="12" spans="1:31" x14ac:dyDescent="0.3">
      <c r="A12" s="6"/>
      <c r="B12">
        <v>8.81</v>
      </c>
      <c r="C12">
        <v>74.010000000000005</v>
      </c>
      <c r="D12">
        <v>10.342499999999999</v>
      </c>
      <c r="E12">
        <v>0.01</v>
      </c>
      <c r="F12" s="5">
        <v>111.9</v>
      </c>
      <c r="G12">
        <f t="shared" si="1"/>
        <v>3.0617908810061292</v>
      </c>
      <c r="H12">
        <f t="shared" si="0"/>
        <v>0.84551576852243893</v>
      </c>
      <c r="I12" s="2">
        <f t="shared" si="2"/>
        <v>0.8972914911502623</v>
      </c>
      <c r="J12">
        <f t="shared" si="3"/>
        <v>1164.6222706920653</v>
      </c>
      <c r="K12" s="5">
        <f>AVERAGE(J11:J13)</f>
        <v>1316.3258899666187</v>
      </c>
      <c r="L12" s="5">
        <f>_xlfn.STDEV.P(J11:J13)</f>
        <v>199.08933922653054</v>
      </c>
      <c r="N12" s="5"/>
      <c r="O12" s="4"/>
      <c r="P12" s="4"/>
      <c r="R12" s="4"/>
      <c r="S12" s="4"/>
    </row>
    <row r="13" spans="1:31" x14ac:dyDescent="0.3">
      <c r="A13" s="6"/>
      <c r="B13">
        <v>8.81</v>
      </c>
      <c r="C13">
        <v>72.97</v>
      </c>
      <c r="D13">
        <v>10.342499999999999</v>
      </c>
      <c r="E13">
        <v>0.01</v>
      </c>
      <c r="F13" s="5">
        <v>119.1</v>
      </c>
      <c r="G13">
        <f t="shared" si="1"/>
        <v>3.2903699326790883</v>
      </c>
      <c r="H13">
        <f t="shared" si="0"/>
        <v>0.8615914266579543</v>
      </c>
      <c r="I13" s="2">
        <f t="shared" si="2"/>
        <v>0.89901431320735514</v>
      </c>
      <c r="J13">
        <f t="shared" si="3"/>
        <v>1186.7650504930502</v>
      </c>
      <c r="K13" s="5"/>
      <c r="L13" s="5"/>
      <c r="N13" s="5"/>
    </row>
    <row r="14" spans="1:31" x14ac:dyDescent="0.3">
      <c r="A14" s="6"/>
      <c r="B14">
        <v>10.02</v>
      </c>
      <c r="C14">
        <v>86.8</v>
      </c>
      <c r="D14">
        <v>10.342499999999999</v>
      </c>
      <c r="E14">
        <v>0.01</v>
      </c>
      <c r="F14" s="5">
        <v>130.5</v>
      </c>
      <c r="G14">
        <f t="shared" si="1"/>
        <v>3.6876890937050164</v>
      </c>
      <c r="H14">
        <f t="shared" si="0"/>
        <v>2.353021184487528</v>
      </c>
      <c r="I14" s="2">
        <f t="shared" si="2"/>
        <v>0.96049396979379476</v>
      </c>
      <c r="J14">
        <f t="shared" si="3"/>
        <v>3241.0760116908114</v>
      </c>
      <c r="K14" s="5"/>
      <c r="L14" s="5"/>
      <c r="N14" s="5"/>
    </row>
    <row r="15" spans="1:31" x14ac:dyDescent="0.3">
      <c r="A15" s="6"/>
      <c r="B15">
        <v>10.02</v>
      </c>
      <c r="C15">
        <v>84.87</v>
      </c>
      <c r="D15">
        <v>10.342499999999999</v>
      </c>
      <c r="E15">
        <v>0.01</v>
      </c>
      <c r="F15" s="5">
        <v>122.7</v>
      </c>
      <c r="G15">
        <f t="shared" si="1"/>
        <v>3.4109812278297249</v>
      </c>
      <c r="H15">
        <f t="shared" si="0"/>
        <v>1.8561101881273121</v>
      </c>
      <c r="I15" s="2">
        <f t="shared" si="2"/>
        <v>0.95044170937412453</v>
      </c>
      <c r="J15">
        <f t="shared" si="3"/>
        <v>2556.6256034811486</v>
      </c>
      <c r="K15" s="5">
        <f>AVERAGE(J14:J16)</f>
        <v>2775.7750000620854</v>
      </c>
      <c r="L15" s="5">
        <f>_xlfn.STDEV.P(J14:J16)</f>
        <v>329.20211979630398</v>
      </c>
      <c r="N15" s="5"/>
      <c r="O15" s="4"/>
      <c r="P15" s="4"/>
      <c r="R15" s="4"/>
      <c r="S15" s="4"/>
    </row>
    <row r="16" spans="1:31" x14ac:dyDescent="0.3">
      <c r="A16" s="6"/>
      <c r="B16">
        <v>10.02</v>
      </c>
      <c r="C16">
        <v>84.26</v>
      </c>
      <c r="D16">
        <v>10.342499999999999</v>
      </c>
      <c r="E16">
        <v>0.01</v>
      </c>
      <c r="F16" s="5">
        <v>126.3</v>
      </c>
      <c r="G16">
        <f t="shared" si="1"/>
        <v>3.5360136321004734</v>
      </c>
      <c r="H16">
        <f t="shared" si="0"/>
        <v>1.836506577520381</v>
      </c>
      <c r="I16" s="2">
        <f t="shared" si="2"/>
        <v>0.9499391866551673</v>
      </c>
      <c r="J16">
        <f t="shared" si="3"/>
        <v>2529.6233850142962</v>
      </c>
      <c r="K16" s="5"/>
      <c r="L16" s="5"/>
      <c r="N16" s="5"/>
    </row>
    <row r="17" spans="1:19" x14ac:dyDescent="0.3">
      <c r="A17" s="6"/>
      <c r="B17">
        <v>10.5</v>
      </c>
      <c r="C17">
        <v>89.69</v>
      </c>
      <c r="D17">
        <v>10.342499999999999</v>
      </c>
      <c r="E17">
        <v>0.01</v>
      </c>
      <c r="F17" s="5">
        <v>137.39999999999998</v>
      </c>
      <c r="G17">
        <f t="shared" si="1"/>
        <v>3.9511236230770019</v>
      </c>
      <c r="H17">
        <f t="shared" si="0"/>
        <v>3.3361283491334186</v>
      </c>
      <c r="I17" s="2">
        <f t="shared" si="2"/>
        <v>0.97180759508804859</v>
      </c>
      <c r="J17">
        <f t="shared" si="3"/>
        <v>4595.2181117540185</v>
      </c>
      <c r="K17" s="5"/>
      <c r="L17" s="5"/>
      <c r="N17" s="5"/>
    </row>
    <row r="18" spans="1:19" x14ac:dyDescent="0.3">
      <c r="A18" s="6"/>
      <c r="B18">
        <v>10.5</v>
      </c>
      <c r="C18">
        <v>86.35</v>
      </c>
      <c r="D18">
        <v>10.342499999999999</v>
      </c>
      <c r="E18">
        <v>0.01</v>
      </c>
      <c r="F18" s="5">
        <v>161.39999999999998</v>
      </c>
      <c r="G18">
        <f t="shared" si="1"/>
        <v>5.02286254865147</v>
      </c>
      <c r="H18">
        <f t="shared" si="0"/>
        <v>3.087235472529406</v>
      </c>
      <c r="I18" s="2">
        <f t="shared" si="2"/>
        <v>0.96960381046040156</v>
      </c>
      <c r="J18">
        <f t="shared" si="3"/>
        <v>4252.3904580294893</v>
      </c>
      <c r="K18" s="5">
        <f>AVERAGE(J17:J19)</f>
        <v>4427.6658725006273</v>
      </c>
      <c r="L18" s="5">
        <f>_xlfn.STDEV.P(J17:J19)</f>
        <v>140.06530766312653</v>
      </c>
      <c r="O18" s="4"/>
      <c r="P18" s="4"/>
      <c r="R18" s="4"/>
      <c r="S18" s="4"/>
    </row>
    <row r="19" spans="1:19" x14ac:dyDescent="0.3">
      <c r="A19" s="6"/>
      <c r="B19">
        <v>10.5</v>
      </c>
      <c r="C19">
        <v>86.77</v>
      </c>
      <c r="D19">
        <v>10.342499999999999</v>
      </c>
      <c r="E19">
        <v>0.01</v>
      </c>
      <c r="F19" s="5">
        <v>162</v>
      </c>
      <c r="G19">
        <f t="shared" si="1"/>
        <v>5.0530903165638676</v>
      </c>
      <c r="H19">
        <f t="shared" si="0"/>
        <v>3.2200924486435412</v>
      </c>
      <c r="I19" s="2">
        <f t="shared" si="2"/>
        <v>0.97082132589305292</v>
      </c>
      <c r="J19">
        <f t="shared" si="3"/>
        <v>4435.3890477183731</v>
      </c>
      <c r="K19" s="5"/>
      <c r="L19" s="5"/>
    </row>
    <row r="20" spans="1:19" x14ac:dyDescent="0.3">
      <c r="I20" s="2"/>
      <c r="K20" s="5"/>
      <c r="L20" s="5"/>
    </row>
    <row r="21" spans="1:19" x14ac:dyDescent="0.3">
      <c r="A21" s="6" t="s">
        <v>11</v>
      </c>
      <c r="B21">
        <v>3.52</v>
      </c>
      <c r="C21">
        <v>30.11</v>
      </c>
      <c r="D21">
        <v>10.342499999999999</v>
      </c>
      <c r="E21">
        <v>0.1</v>
      </c>
      <c r="F21" s="5">
        <v>147.00000000000003</v>
      </c>
      <c r="G21">
        <f t="shared" ref="G21" si="4">EXP(F21/100)</f>
        <v>4.3492351410627421</v>
      </c>
      <c r="H21">
        <f t="shared" ref="H21:H38" si="5">(C21/(100-C21))*G21/(D21-E21*G21)</f>
        <v>0.18912161579465925</v>
      </c>
      <c r="I21" s="2">
        <f t="shared" ref="I21" si="6">H21*(D21-E21)/(1+(H21*(D21-E21)))</f>
        <v>0.65952557303386872</v>
      </c>
      <c r="J21">
        <f>((I21/(1-I21))/((D21-E21)*0.000726))</f>
        <v>260.49809338107326</v>
      </c>
      <c r="K21" s="5"/>
      <c r="L21" s="5"/>
    </row>
    <row r="22" spans="1:19" x14ac:dyDescent="0.3">
      <c r="A22" s="6"/>
      <c r="B22">
        <v>3.52</v>
      </c>
      <c r="C22">
        <v>26.94</v>
      </c>
      <c r="D22">
        <v>10.342499999999999</v>
      </c>
      <c r="E22">
        <v>0.1</v>
      </c>
      <c r="F22" s="5">
        <v>150.6</v>
      </c>
      <c r="G22">
        <f t="shared" ref="G22:G38" si="7">EXP(F22/100)</f>
        <v>4.508660036746468</v>
      </c>
      <c r="H22">
        <f t="shared" si="5"/>
        <v>0.16807277658995745</v>
      </c>
      <c r="I22" s="2">
        <f t="shared" ref="I22:I38" si="8">H22*(D22-E22)/(1+(H22*(D22-E22)))</f>
        <v>0.63255360665394622</v>
      </c>
      <c r="J22">
        <f t="shared" ref="J22:J38" si="9">((I22/(1-I22))/((D22-E22)*0.000726))</f>
        <v>231.50520191454197</v>
      </c>
      <c r="K22" s="5">
        <f>AVERAGE(J21:J23)</f>
        <v>254.64574989975236</v>
      </c>
      <c r="L22" s="5">
        <f>_xlfn.STDEV.P(J21:J23)</f>
        <v>17.015844579366693</v>
      </c>
      <c r="O22" s="4"/>
      <c r="P22" s="4"/>
      <c r="R22" s="4"/>
      <c r="S22" s="4"/>
    </row>
    <row r="23" spans="1:19" x14ac:dyDescent="0.3">
      <c r="A23" s="6"/>
      <c r="B23">
        <v>3.52</v>
      </c>
      <c r="C23">
        <v>28.85</v>
      </c>
      <c r="D23">
        <v>10.342499999999999</v>
      </c>
      <c r="E23">
        <v>0.1</v>
      </c>
      <c r="F23" s="5">
        <v>156.9</v>
      </c>
      <c r="G23">
        <f t="shared" si="7"/>
        <v>4.801843948104592</v>
      </c>
      <c r="H23">
        <f t="shared" si="5"/>
        <v>0.19742405089704401</v>
      </c>
      <c r="I23" s="2">
        <f t="shared" si="8"/>
        <v>0.66910599973376761</v>
      </c>
      <c r="J23">
        <f t="shared" si="9"/>
        <v>271.93395440364185</v>
      </c>
      <c r="K23" s="5"/>
      <c r="L23" s="5"/>
    </row>
    <row r="24" spans="1:19" x14ac:dyDescent="0.3">
      <c r="A24" s="6"/>
      <c r="B24">
        <v>4.76</v>
      </c>
      <c r="C24">
        <v>20.170000000000002</v>
      </c>
      <c r="D24">
        <v>10.342499999999999</v>
      </c>
      <c r="E24">
        <v>0.1</v>
      </c>
      <c r="F24" s="5">
        <v>154.80000000000001</v>
      </c>
      <c r="G24">
        <f t="shared" si="7"/>
        <v>4.7020566588871047</v>
      </c>
      <c r="H24">
        <f t="shared" si="5"/>
        <v>0.12033986831635239</v>
      </c>
      <c r="I24" s="2">
        <f t="shared" si="8"/>
        <v>0.55208794007574424</v>
      </c>
      <c r="J24">
        <f t="shared" si="9"/>
        <v>165.75739437514108</v>
      </c>
      <c r="K24" s="5"/>
      <c r="L24" s="5"/>
    </row>
    <row r="25" spans="1:19" x14ac:dyDescent="0.3">
      <c r="A25" s="6"/>
      <c r="B25">
        <v>4.76</v>
      </c>
      <c r="C25">
        <v>16.690000000000001</v>
      </c>
      <c r="D25">
        <v>10.342499999999999</v>
      </c>
      <c r="E25">
        <v>0.1</v>
      </c>
      <c r="F25" s="5">
        <v>147.30000000000001</v>
      </c>
      <c r="G25">
        <f t="shared" si="7"/>
        <v>4.3623024376303103</v>
      </c>
      <c r="H25">
        <f t="shared" si="5"/>
        <v>8.8219547132283818E-2</v>
      </c>
      <c r="I25" s="2">
        <f t="shared" si="8"/>
        <v>0.47467643931826797</v>
      </c>
      <c r="J25">
        <f t="shared" si="9"/>
        <v>121.51452773041848</v>
      </c>
      <c r="K25" s="5">
        <f>AVERAGE(J24:J26)</f>
        <v>140.36446043400949</v>
      </c>
      <c r="L25" s="5">
        <f>_xlfn.STDEV.P(J24:J26)</f>
        <v>18.645213168201551</v>
      </c>
      <c r="M25">
        <f>K37/K25</f>
        <v>13.545846019505593</v>
      </c>
      <c r="O25" s="4"/>
      <c r="P25" s="4"/>
      <c r="R25" s="4"/>
      <c r="S25" s="4"/>
    </row>
    <row r="26" spans="1:19" x14ac:dyDescent="0.3">
      <c r="A26" s="6"/>
      <c r="B26">
        <v>4.76</v>
      </c>
      <c r="C26">
        <v>17.89</v>
      </c>
      <c r="D26">
        <v>10.342499999999999</v>
      </c>
      <c r="E26">
        <v>0.1</v>
      </c>
      <c r="F26" s="5">
        <v>148.5</v>
      </c>
      <c r="G26">
        <f t="shared" si="7"/>
        <v>4.414965412778578</v>
      </c>
      <c r="H26">
        <f t="shared" si="5"/>
        <v>9.7154379376636388E-2</v>
      </c>
      <c r="I26" s="2">
        <f t="shared" si="8"/>
        <v>0.49877292865546297</v>
      </c>
      <c r="J26">
        <f t="shared" si="9"/>
        <v>133.82145919646885</v>
      </c>
      <c r="K26" s="5"/>
      <c r="L26" s="5"/>
    </row>
    <row r="27" spans="1:19" x14ac:dyDescent="0.3">
      <c r="A27" s="6"/>
      <c r="B27">
        <v>6.5</v>
      </c>
      <c r="C27">
        <v>49.75</v>
      </c>
      <c r="D27">
        <v>10.342499999999999</v>
      </c>
      <c r="E27">
        <v>0.1</v>
      </c>
      <c r="F27" s="5">
        <v>141.60000000000002</v>
      </c>
      <c r="G27">
        <f t="shared" si="7"/>
        <v>4.1206050113687187</v>
      </c>
      <c r="H27">
        <f t="shared" si="5"/>
        <v>0.41081806771457863</v>
      </c>
      <c r="I27" s="2">
        <f t="shared" si="8"/>
        <v>0.80798048683205526</v>
      </c>
      <c r="J27">
        <f t="shared" si="9"/>
        <v>565.86510704487432</v>
      </c>
      <c r="K27" s="5"/>
      <c r="L27" s="5"/>
    </row>
    <row r="28" spans="1:19" x14ac:dyDescent="0.3">
      <c r="A28" s="6"/>
      <c r="B28">
        <v>6.5</v>
      </c>
      <c r="C28">
        <v>39.299999999999997</v>
      </c>
      <c r="D28">
        <v>10.342499999999999</v>
      </c>
      <c r="E28">
        <v>0.1</v>
      </c>
      <c r="F28" s="5">
        <v>134.1</v>
      </c>
      <c r="G28">
        <f t="shared" si="7"/>
        <v>3.8228644590301211</v>
      </c>
      <c r="H28">
        <f t="shared" si="5"/>
        <v>0.24849869331940719</v>
      </c>
      <c r="I28" s="2">
        <f t="shared" si="8"/>
        <v>0.71793227506067914</v>
      </c>
      <c r="J28">
        <f t="shared" si="9"/>
        <v>342.28470154188312</v>
      </c>
      <c r="K28" s="5">
        <f>AVERAGE(J27:J29)</f>
        <v>448.56679354557809</v>
      </c>
      <c r="L28" s="5">
        <f>_xlfn.STDEV.P(J27:J29)</f>
        <v>91.608104747890309</v>
      </c>
      <c r="M28">
        <f>K37/K28</f>
        <v>4.2387341082948087</v>
      </c>
      <c r="O28" s="4"/>
      <c r="P28" s="4"/>
      <c r="R28" s="4"/>
      <c r="S28" s="4"/>
    </row>
    <row r="29" spans="1:19" x14ac:dyDescent="0.3">
      <c r="A29" s="6"/>
      <c r="B29">
        <v>6.5</v>
      </c>
      <c r="C29">
        <v>45.98</v>
      </c>
      <c r="D29">
        <v>10.342499999999999</v>
      </c>
      <c r="E29">
        <v>0.1</v>
      </c>
      <c r="F29" s="5">
        <v>131.4</v>
      </c>
      <c r="G29">
        <f t="shared" si="7"/>
        <v>3.7210280960208211</v>
      </c>
      <c r="H29">
        <f t="shared" si="5"/>
        <v>0.31766171530828308</v>
      </c>
      <c r="I29" s="2">
        <f t="shared" si="8"/>
        <v>0.76490779165812262</v>
      </c>
      <c r="J29">
        <f t="shared" si="9"/>
        <v>437.55057204997689</v>
      </c>
      <c r="K29" s="5"/>
      <c r="L29" s="5"/>
    </row>
    <row r="30" spans="1:19" x14ac:dyDescent="0.3">
      <c r="A30" s="6"/>
      <c r="B30">
        <v>8.9499999999999993</v>
      </c>
      <c r="C30">
        <v>56.2</v>
      </c>
      <c r="D30">
        <v>10.342499999999999</v>
      </c>
      <c r="E30">
        <v>0.1</v>
      </c>
      <c r="F30">
        <v>118.3</v>
      </c>
      <c r="G30">
        <f t="shared" si="7"/>
        <v>3.2641519848379272</v>
      </c>
      <c r="H30">
        <f t="shared" si="5"/>
        <v>0.41815239088186246</v>
      </c>
      <c r="I30" s="2">
        <f t="shared" si="8"/>
        <v>0.81071095339635446</v>
      </c>
      <c r="J30">
        <f t="shared" si="9"/>
        <v>575.96748055352964</v>
      </c>
      <c r="K30" s="5"/>
      <c r="L30" s="5"/>
    </row>
    <row r="31" spans="1:19" x14ac:dyDescent="0.3">
      <c r="A31" s="6"/>
      <c r="B31">
        <v>8.9499999999999993</v>
      </c>
      <c r="C31">
        <v>55.84</v>
      </c>
      <c r="D31">
        <v>10.342499999999999</v>
      </c>
      <c r="E31">
        <v>0.1</v>
      </c>
      <c r="F31">
        <v>109.9</v>
      </c>
      <c r="G31">
        <f t="shared" si="7"/>
        <v>3.0011633595049294</v>
      </c>
      <c r="H31">
        <f t="shared" si="5"/>
        <v>0.37789328186283677</v>
      </c>
      <c r="I31" s="2">
        <f t="shared" si="8"/>
        <v>0.79468530340468757</v>
      </c>
      <c r="J31">
        <f t="shared" si="9"/>
        <v>520.51416234550504</v>
      </c>
      <c r="K31" s="5">
        <f>AVERAGE(J30:J32)</f>
        <v>532.72229787619528</v>
      </c>
      <c r="L31" s="5">
        <f>_xlfn.STDEV.P(J30:J32)</f>
        <v>31.530317122386229</v>
      </c>
      <c r="O31" s="4"/>
      <c r="P31" s="4"/>
      <c r="R31" s="4"/>
      <c r="S31" s="4"/>
    </row>
    <row r="32" spans="1:19" x14ac:dyDescent="0.3">
      <c r="A32" s="6"/>
      <c r="B32">
        <v>8.9499999999999993</v>
      </c>
      <c r="C32">
        <v>54.7</v>
      </c>
      <c r="D32">
        <v>10.342499999999999</v>
      </c>
      <c r="E32">
        <v>0.1</v>
      </c>
      <c r="F32">
        <v>110.8</v>
      </c>
      <c r="G32">
        <f t="shared" si="7"/>
        <v>3.0282957423198038</v>
      </c>
      <c r="H32">
        <f t="shared" si="5"/>
        <v>0.36422349202965415</v>
      </c>
      <c r="I32" s="2">
        <f t="shared" si="8"/>
        <v>0.78860849737987582</v>
      </c>
      <c r="J32">
        <f t="shared" si="9"/>
        <v>501.68525072955123</v>
      </c>
      <c r="K32" s="5"/>
      <c r="L32" s="5"/>
    </row>
    <row r="33" spans="1:19" x14ac:dyDescent="0.3">
      <c r="A33" s="6"/>
      <c r="B33">
        <v>10.02</v>
      </c>
      <c r="C33">
        <v>69.959999999999994</v>
      </c>
      <c r="D33">
        <v>10.342499999999999</v>
      </c>
      <c r="E33">
        <v>0.1</v>
      </c>
      <c r="F33" s="5">
        <v>137.5</v>
      </c>
      <c r="G33">
        <f t="shared" si="7"/>
        <v>3.9550767229205772</v>
      </c>
      <c r="H33">
        <f t="shared" si="5"/>
        <v>0.92600429733301881</v>
      </c>
      <c r="I33" s="2">
        <f t="shared" si="8"/>
        <v>0.90462200809702031</v>
      </c>
      <c r="J33">
        <f t="shared" si="9"/>
        <v>1275.488012855398</v>
      </c>
      <c r="K33" s="5"/>
      <c r="L33" s="5"/>
    </row>
    <row r="34" spans="1:19" x14ac:dyDescent="0.3">
      <c r="A34" s="6"/>
      <c r="B34">
        <v>10.02</v>
      </c>
      <c r="C34">
        <v>67.33</v>
      </c>
      <c r="D34">
        <v>10.342499999999999</v>
      </c>
      <c r="E34">
        <v>0.1</v>
      </c>
      <c r="F34" s="5">
        <v>117.5</v>
      </c>
      <c r="G34">
        <f t="shared" si="7"/>
        <v>3.238142943837961</v>
      </c>
      <c r="H34">
        <f t="shared" si="5"/>
        <v>0.66610814415995379</v>
      </c>
      <c r="I34" s="2">
        <f t="shared" si="8"/>
        <v>0.87216547173874526</v>
      </c>
      <c r="J34">
        <f t="shared" si="9"/>
        <v>917.50433079883476</v>
      </c>
      <c r="K34" s="5">
        <f>AVERAGE(J33:J35)</f>
        <v>1050.9771543282966</v>
      </c>
      <c r="L34" s="5">
        <f>_xlfn.STDEV.P(J33:J35)</f>
        <v>159.69558962156236</v>
      </c>
      <c r="O34" s="4"/>
      <c r="P34" s="4"/>
      <c r="R34" s="4"/>
      <c r="S34" s="4"/>
    </row>
    <row r="35" spans="1:19" x14ac:dyDescent="0.3">
      <c r="A35" s="6"/>
      <c r="B35">
        <v>10.02</v>
      </c>
      <c r="C35">
        <v>67.709999999999994</v>
      </c>
      <c r="D35">
        <v>10.342499999999999</v>
      </c>
      <c r="E35">
        <v>0.1</v>
      </c>
      <c r="F35" s="5">
        <v>120.2</v>
      </c>
      <c r="G35">
        <f t="shared" si="7"/>
        <v>3.3267638012449026</v>
      </c>
      <c r="H35">
        <f t="shared" si="5"/>
        <v>0.69691580063405678</v>
      </c>
      <c r="I35" s="2">
        <f t="shared" si="8"/>
        <v>0.87712210263899437</v>
      </c>
      <c r="J35">
        <f t="shared" si="9"/>
        <v>959.93911933065749</v>
      </c>
      <c r="K35" s="5"/>
      <c r="L35" s="5"/>
    </row>
    <row r="36" spans="1:19" x14ac:dyDescent="0.3">
      <c r="A36" s="6"/>
      <c r="B36">
        <v>10.47</v>
      </c>
      <c r="C36">
        <v>77.11</v>
      </c>
      <c r="D36">
        <v>10.342499999999999</v>
      </c>
      <c r="E36">
        <v>0.1</v>
      </c>
      <c r="F36" s="5">
        <v>170.3</v>
      </c>
      <c r="G36">
        <f t="shared" si="7"/>
        <v>5.4903938913168933</v>
      </c>
      <c r="H36">
        <f t="shared" si="5"/>
        <v>1.8885662844391871</v>
      </c>
      <c r="I36" s="2">
        <f t="shared" si="8"/>
        <v>0.95084458869092336</v>
      </c>
      <c r="J36">
        <f t="shared" si="9"/>
        <v>2601.3309703019095</v>
      </c>
      <c r="K36" s="5"/>
      <c r="L36" s="5"/>
    </row>
    <row r="37" spans="1:19" x14ac:dyDescent="0.3">
      <c r="A37" s="6"/>
      <c r="B37">
        <v>10.47</v>
      </c>
      <c r="C37">
        <v>67.69</v>
      </c>
      <c r="D37">
        <v>10.342499999999999</v>
      </c>
      <c r="E37">
        <v>0.1</v>
      </c>
      <c r="F37">
        <v>161.5</v>
      </c>
      <c r="G37">
        <f t="shared" si="7"/>
        <v>5.0278879234687492</v>
      </c>
      <c r="H37">
        <f t="shared" si="5"/>
        <v>1.0705101567581772</v>
      </c>
      <c r="I37" s="2">
        <f t="shared" si="8"/>
        <v>0.91642080649343116</v>
      </c>
      <c r="J37">
        <f t="shared" si="9"/>
        <v>1474.5318963611246</v>
      </c>
      <c r="K37" s="5">
        <f>AVERAGE(J36:J38)</f>
        <v>1901.3553676500776</v>
      </c>
      <c r="L37" s="5">
        <f>_xlfn.STDEV.P(J36:J38)</f>
        <v>498.91756393851574</v>
      </c>
      <c r="O37" s="4"/>
      <c r="P37" s="4"/>
      <c r="R37" s="4"/>
      <c r="S37" s="4"/>
    </row>
    <row r="38" spans="1:19" x14ac:dyDescent="0.3">
      <c r="A38" s="6"/>
      <c r="B38">
        <v>10.47</v>
      </c>
      <c r="C38">
        <v>68.97</v>
      </c>
      <c r="D38">
        <v>10.342499999999999</v>
      </c>
      <c r="E38">
        <v>0.1</v>
      </c>
      <c r="F38" s="5">
        <v>165.3</v>
      </c>
      <c r="G38">
        <f t="shared" si="7"/>
        <v>5.2226242215196041</v>
      </c>
      <c r="H38">
        <f t="shared" si="5"/>
        <v>1.1820755495445066</v>
      </c>
      <c r="I38" s="2">
        <f t="shared" si="8"/>
        <v>0.92370727013844833</v>
      </c>
      <c r="J38">
        <f t="shared" si="9"/>
        <v>1628.2032362871987</v>
      </c>
      <c r="N38" s="4"/>
      <c r="O38" s="5"/>
    </row>
    <row r="39" spans="1:19" x14ac:dyDescent="0.3">
      <c r="F39" s="4"/>
      <c r="I39" s="2"/>
      <c r="N39" s="4"/>
    </row>
    <row r="40" spans="1:19" x14ac:dyDescent="0.3">
      <c r="F40" s="4"/>
      <c r="I40" s="2"/>
      <c r="N40" s="4"/>
    </row>
    <row r="41" spans="1:19" x14ac:dyDescent="0.3">
      <c r="F41" s="4"/>
      <c r="I41" s="2"/>
      <c r="N41" s="4"/>
    </row>
    <row r="42" spans="1:19" x14ac:dyDescent="0.3">
      <c r="F42" s="4"/>
      <c r="I42" s="2"/>
      <c r="N42" s="4"/>
    </row>
    <row r="43" spans="1:19" x14ac:dyDescent="0.3">
      <c r="F43" s="4"/>
      <c r="I43" s="2"/>
      <c r="N43" s="4"/>
    </row>
  </sheetData>
  <mergeCells count="2">
    <mergeCell ref="A2:A19"/>
    <mergeCell ref="A21:A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13AA-C6E8-42B6-8484-CF84AFEF694C}">
  <dimension ref="A1:W20"/>
  <sheetViews>
    <sheetView tabSelected="1" workbookViewId="0">
      <selection activeCell="F8" sqref="F8"/>
    </sheetView>
  </sheetViews>
  <sheetFormatPr defaultRowHeight="14.4" x14ac:dyDescent="0.3"/>
  <sheetData>
    <row r="1" spans="1:22" x14ac:dyDescent="0.3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22" x14ac:dyDescent="0.3">
      <c r="A2" t="s">
        <v>4</v>
      </c>
      <c r="B2" s="3" t="s">
        <v>9</v>
      </c>
      <c r="C2" s="3" t="s">
        <v>0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</v>
      </c>
      <c r="I2" s="3" t="s">
        <v>1</v>
      </c>
      <c r="J2" s="1" t="s">
        <v>3</v>
      </c>
      <c r="K2" s="1" t="s">
        <v>12</v>
      </c>
      <c r="L2" s="1" t="s">
        <v>13</v>
      </c>
    </row>
    <row r="3" spans="1:22" x14ac:dyDescent="0.3">
      <c r="A3" s="6" t="s">
        <v>14</v>
      </c>
      <c r="B3">
        <v>7</v>
      </c>
      <c r="C3">
        <v>41.76904176904177</v>
      </c>
      <c r="D3">
        <v>10.342499999999999</v>
      </c>
      <c r="E3">
        <v>0.01</v>
      </c>
      <c r="F3" s="5">
        <v>2.2189992748368383</v>
      </c>
      <c r="G3">
        <f>EXP(F3/100)</f>
        <v>1.0224380218278126</v>
      </c>
      <c r="H3">
        <f t="shared" ref="H3:H20" si="0">(C3/(100-C3))*G3/(D3-E3*G3)</f>
        <v>7.0980913463488851E-2</v>
      </c>
      <c r="I3" s="2">
        <f>H3*(D3-E3)/(1+(H3*(D3-E3)))</f>
        <v>0.42310253566958617</v>
      </c>
      <c r="J3">
        <f>((I3/(1-I3))/((D3-E3)*0.000726))</f>
        <v>97.769853255494297</v>
      </c>
    </row>
    <row r="4" spans="1:22" x14ac:dyDescent="0.3">
      <c r="A4" s="6"/>
      <c r="B4">
        <v>7</v>
      </c>
      <c r="C4">
        <v>29.484029484029485</v>
      </c>
      <c r="D4">
        <v>10.342499999999999</v>
      </c>
      <c r="E4">
        <v>0.01</v>
      </c>
      <c r="F4" s="5">
        <v>2.2320522117476433</v>
      </c>
      <c r="G4">
        <f t="shared" ref="G4:G20" si="1">EXP(F4/100)</f>
        <v>1.0225714887282396</v>
      </c>
      <c r="H4">
        <f t="shared" si="0"/>
        <v>4.138063037851003E-2</v>
      </c>
      <c r="I4" s="2">
        <f t="shared" ref="I4:I5" si="2">H4*(D4-E4)/(1+(H4*(D4-E4)))</f>
        <v>0.2995066806411153</v>
      </c>
      <c r="J4">
        <f t="shared" ref="J4:J5" si="3">((I4/(1-I4))/((D4-E4)*0.000726))</f>
        <v>56.998113469022087</v>
      </c>
      <c r="K4" s="5">
        <f>AVERAGE(J3:J5)</f>
        <v>79.495242851383139</v>
      </c>
      <c r="L4" s="5">
        <f>_xlfn.STDEV.P(J3:J5)</f>
        <v>16.910666085742243</v>
      </c>
      <c r="P4">
        <v>14.01923</v>
      </c>
      <c r="Q4">
        <v>1029.4000000000001</v>
      </c>
      <c r="R4">
        <f>Q4/(P4^-1.676)</f>
        <v>85999.090342000069</v>
      </c>
    </row>
    <row r="5" spans="1:22" x14ac:dyDescent="0.3">
      <c r="A5" s="6"/>
      <c r="B5">
        <v>7</v>
      </c>
      <c r="C5">
        <v>38.574938574938578</v>
      </c>
      <c r="D5">
        <v>10.342499999999999</v>
      </c>
      <c r="E5">
        <v>0.01</v>
      </c>
      <c r="F5" s="5"/>
      <c r="G5">
        <f t="shared" si="1"/>
        <v>1</v>
      </c>
      <c r="H5">
        <f t="shared" si="0"/>
        <v>6.0779095088313584E-2</v>
      </c>
      <c r="I5" s="2">
        <f t="shared" si="2"/>
        <v>0.38574938574938578</v>
      </c>
      <c r="J5">
        <f t="shared" si="3"/>
        <v>83.717761829633048</v>
      </c>
      <c r="K5" s="5"/>
      <c r="L5" s="5"/>
      <c r="P5">
        <v>16.35256</v>
      </c>
      <c r="Q5">
        <v>4427.7</v>
      </c>
      <c r="R5">
        <f>Q5/(P5^-1.676)</f>
        <v>478793.12599772325</v>
      </c>
    </row>
    <row r="6" spans="1:22" x14ac:dyDescent="0.3">
      <c r="A6" s="6"/>
      <c r="B6">
        <v>10.5</v>
      </c>
      <c r="C6">
        <v>79.951219512195124</v>
      </c>
      <c r="D6">
        <v>10.342499999999999</v>
      </c>
      <c r="E6">
        <v>0.01</v>
      </c>
      <c r="F6" s="5">
        <v>2.2668600435097899</v>
      </c>
      <c r="G6">
        <f t="shared" si="1"/>
        <v>1.0229274856454935</v>
      </c>
      <c r="H6">
        <f t="shared" si="0"/>
        <v>0.39480823507173557</v>
      </c>
      <c r="I6" s="2">
        <f t="shared" ref="I6:I20" si="4">H6*(D6-E6)/(1+(H6*(D6-E6)))</f>
        <v>0.8031246515302386</v>
      </c>
      <c r="J6">
        <f t="shared" ref="J6:J20" si="5">((I6/(1-I6))/((D6-E6)*0.000726))</f>
        <v>543.812995966578</v>
      </c>
      <c r="K6" s="5"/>
      <c r="L6" s="5"/>
    </row>
    <row r="7" spans="1:22" x14ac:dyDescent="0.3">
      <c r="A7" s="6"/>
      <c r="B7">
        <v>10.5</v>
      </c>
      <c r="C7">
        <v>70.975609756097555</v>
      </c>
      <c r="D7">
        <v>10.342499999999999</v>
      </c>
      <c r="E7">
        <v>0.01</v>
      </c>
      <c r="F7">
        <v>2.6802030456852801</v>
      </c>
      <c r="G7">
        <f t="shared" si="1"/>
        <v>1.0271644353598723</v>
      </c>
      <c r="H7">
        <f t="shared" si="0"/>
        <v>0.24310394442726399</v>
      </c>
      <c r="I7" s="2">
        <f t="shared" si="4"/>
        <v>0.71525154085223031</v>
      </c>
      <c r="J7">
        <f t="shared" si="5"/>
        <v>334.85391794388983</v>
      </c>
      <c r="K7" s="5">
        <f>AVERAGE(J6:J8)</f>
        <v>430.64112718027405</v>
      </c>
      <c r="L7" s="5">
        <f>_xlfn.STDEV.P(J6:J8)</f>
        <v>86.188335880492659</v>
      </c>
    </row>
    <row r="8" spans="1:22" x14ac:dyDescent="0.3">
      <c r="A8" s="6"/>
      <c r="B8">
        <v>10.5</v>
      </c>
      <c r="C8">
        <v>75.609756097560975</v>
      </c>
      <c r="D8">
        <v>10.342499999999999</v>
      </c>
      <c r="E8">
        <v>0.01</v>
      </c>
      <c r="G8">
        <f t="shared" si="1"/>
        <v>1</v>
      </c>
      <c r="H8">
        <f t="shared" si="0"/>
        <v>0.3000241954996371</v>
      </c>
      <c r="I8" s="2">
        <f t="shared" si="4"/>
        <v>0.75609756097560987</v>
      </c>
      <c r="J8">
        <f t="shared" si="5"/>
        <v>413.25646763035439</v>
      </c>
    </row>
    <row r="9" spans="1:22" x14ac:dyDescent="0.3">
      <c r="A9" s="6" t="s">
        <v>15</v>
      </c>
      <c r="B9">
        <v>7</v>
      </c>
      <c r="C9">
        <v>56.81124007330483</v>
      </c>
      <c r="D9">
        <v>6.8949999999999996</v>
      </c>
      <c r="E9">
        <v>0.01</v>
      </c>
      <c r="F9">
        <v>1.2965917331399566</v>
      </c>
      <c r="G9">
        <f t="shared" si="1"/>
        <v>1.0130503393124182</v>
      </c>
      <c r="H9">
        <f t="shared" si="0"/>
        <v>0.19355252822096647</v>
      </c>
      <c r="I9" s="2">
        <f t="shared" si="4"/>
        <v>0.5712955181178857</v>
      </c>
      <c r="J9">
        <f t="shared" si="5"/>
        <v>266.60127854127614</v>
      </c>
      <c r="V9" t="s">
        <v>18</v>
      </c>
    </row>
    <row r="10" spans="1:22" x14ac:dyDescent="0.3">
      <c r="A10" s="6"/>
      <c r="B10">
        <v>7</v>
      </c>
      <c r="C10">
        <v>44.22724496029322</v>
      </c>
      <c r="D10">
        <v>6.8949999999999996</v>
      </c>
      <c r="E10">
        <v>0.01</v>
      </c>
      <c r="F10">
        <v>1.7955039883973896</v>
      </c>
      <c r="G10">
        <f t="shared" si="1"/>
        <v>1.0181172006932899</v>
      </c>
      <c r="H10">
        <f t="shared" si="0"/>
        <v>0.11726625262273131</v>
      </c>
      <c r="I10" s="2">
        <f t="shared" si="4"/>
        <v>0.44671235491966699</v>
      </c>
      <c r="J10">
        <f t="shared" si="5"/>
        <v>161.5237639431561</v>
      </c>
      <c r="K10" s="5">
        <f>AVERAGE(J9:J11)</f>
        <v>200.65922597304549</v>
      </c>
      <c r="L10" s="5">
        <f>_xlfn.STDEV.P(J9:J11)</f>
        <v>46.89894093151959</v>
      </c>
      <c r="V10">
        <v>3920.5028544491852</v>
      </c>
    </row>
    <row r="11" spans="1:22" x14ac:dyDescent="0.3">
      <c r="A11" s="6"/>
      <c r="B11">
        <v>7</v>
      </c>
      <c r="C11">
        <v>45.815516188149061</v>
      </c>
      <c r="D11">
        <v>6.8949999999999996</v>
      </c>
      <c r="E11">
        <v>0.01</v>
      </c>
      <c r="F11">
        <v>2.7324147933284983</v>
      </c>
      <c r="G11">
        <f t="shared" si="1"/>
        <v>1.0277008758930457</v>
      </c>
      <c r="H11">
        <f t="shared" si="0"/>
        <v>0.12621701332559521</v>
      </c>
      <c r="I11" s="2">
        <f t="shared" si="4"/>
        <v>0.4649557053733186</v>
      </c>
      <c r="J11">
        <f t="shared" si="5"/>
        <v>173.85263543470418</v>
      </c>
      <c r="V11" t="s">
        <v>19</v>
      </c>
    </row>
    <row r="12" spans="1:22" x14ac:dyDescent="0.3">
      <c r="A12" s="6"/>
      <c r="B12">
        <v>10.5</v>
      </c>
      <c r="C12">
        <v>88.502673796791441</v>
      </c>
      <c r="D12">
        <v>6.8949999999999996</v>
      </c>
      <c r="E12">
        <v>0.01</v>
      </c>
      <c r="F12">
        <v>1.1747643219724442</v>
      </c>
      <c r="G12">
        <f t="shared" si="1"/>
        <v>1.0118169177855205</v>
      </c>
      <c r="H12">
        <f t="shared" si="0"/>
        <v>1.1312666499925883</v>
      </c>
      <c r="I12" s="2">
        <f t="shared" si="4"/>
        <v>0.886218447031759</v>
      </c>
      <c r="J12">
        <f t="shared" si="5"/>
        <v>1558.2185261605885</v>
      </c>
      <c r="P12">
        <v>3.2849900000000001</v>
      </c>
      <c r="Q12">
        <v>79.495242851383139</v>
      </c>
      <c r="S12">
        <v>3.3458999999999999</v>
      </c>
      <c r="T12">
        <v>430.64112718027405</v>
      </c>
      <c r="U12">
        <f>V10*S12^-1.676</f>
        <v>517.91448629716058</v>
      </c>
      <c r="V12">
        <f>ABS(T12-U12)^2</f>
        <v>7616.6392115450399</v>
      </c>
    </row>
    <row r="13" spans="1:22" x14ac:dyDescent="0.3">
      <c r="A13" s="6"/>
      <c r="B13">
        <v>10.5</v>
      </c>
      <c r="C13">
        <v>75.133689839572199</v>
      </c>
      <c r="D13">
        <v>6.8949999999999996</v>
      </c>
      <c r="E13">
        <v>0.01</v>
      </c>
      <c r="F13">
        <v>1.592458303118202</v>
      </c>
      <c r="G13">
        <f t="shared" si="1"/>
        <v>1.0160520549503671</v>
      </c>
      <c r="H13">
        <f t="shared" si="0"/>
        <v>0.44590825332111012</v>
      </c>
      <c r="I13" s="2">
        <f t="shared" si="4"/>
        <v>0.75430448252682381</v>
      </c>
      <c r="J13">
        <f t="shared" si="5"/>
        <v>614.19869603458721</v>
      </c>
      <c r="K13" s="5">
        <f>AVERAGE(J12:J14)</f>
        <v>1040.9550228990299</v>
      </c>
      <c r="L13" s="5">
        <f>_xlfn.STDEV.P(J12:J14)</f>
        <v>390.6720889717401</v>
      </c>
      <c r="P13">
        <v>1.76166</v>
      </c>
      <c r="Q13">
        <v>200.65922597304549</v>
      </c>
      <c r="S13">
        <v>2.4735299999999998</v>
      </c>
      <c r="T13">
        <v>1040.9550228990299</v>
      </c>
      <c r="U13">
        <f>V10*S13^-1.676</f>
        <v>859.29478738295052</v>
      </c>
      <c r="V13">
        <f t="shared" ref="V13:V14" si="6">ABS(T13-U13)^2</f>
        <v>33000.441167757439</v>
      </c>
    </row>
    <row r="14" spans="1:22" x14ac:dyDescent="0.3">
      <c r="A14" s="6"/>
      <c r="B14">
        <v>10.5</v>
      </c>
      <c r="C14">
        <v>82.245989304812838</v>
      </c>
      <c r="D14">
        <v>6.8949999999999996</v>
      </c>
      <c r="E14">
        <v>0.01</v>
      </c>
      <c r="F14">
        <v>2.5177664974619294</v>
      </c>
      <c r="G14">
        <f t="shared" si="1"/>
        <v>1.0254972992922076</v>
      </c>
      <c r="H14">
        <f t="shared" si="0"/>
        <v>0.69002513656038966</v>
      </c>
      <c r="I14" s="2">
        <f t="shared" si="4"/>
        <v>0.82611184718094899</v>
      </c>
      <c r="J14">
        <f t="shared" si="5"/>
        <v>950.44784650191411</v>
      </c>
      <c r="P14">
        <v>1.4836800000000001</v>
      </c>
      <c r="Q14">
        <v>318.35828967647262</v>
      </c>
      <c r="S14">
        <v>1.9415</v>
      </c>
      <c r="T14">
        <v>1203.5048399462742</v>
      </c>
      <c r="U14">
        <f>V10*S14^-1.676</f>
        <v>1289.5063959287857</v>
      </c>
      <c r="V14">
        <f t="shared" si="6"/>
        <v>7396.2676314130576</v>
      </c>
    </row>
    <row r="15" spans="1:22" x14ac:dyDescent="0.3">
      <c r="A15" s="6" t="s">
        <v>16</v>
      </c>
      <c r="B15">
        <v>7</v>
      </c>
      <c r="C15">
        <v>62.950952573976487</v>
      </c>
      <c r="D15">
        <v>6.8949999999999996</v>
      </c>
      <c r="E15">
        <v>0.01</v>
      </c>
      <c r="F15">
        <v>2.5409717186366931</v>
      </c>
      <c r="G15">
        <f t="shared" si="1"/>
        <v>1.0257352958213919</v>
      </c>
      <c r="H15">
        <f t="shared" si="0"/>
        <v>0.25314703734049016</v>
      </c>
      <c r="I15" s="2">
        <f t="shared" si="4"/>
        <v>0.63542466956275523</v>
      </c>
      <c r="J15">
        <f t="shared" si="5"/>
        <v>348.68737925687367</v>
      </c>
      <c r="U15" t="s">
        <v>20</v>
      </c>
      <c r="V15">
        <f>SUM(V12:V14)</f>
        <v>48013.348010715541</v>
      </c>
    </row>
    <row r="16" spans="1:22" x14ac:dyDescent="0.3">
      <c r="A16" s="6"/>
      <c r="B16">
        <v>7</v>
      </c>
      <c r="C16">
        <v>59.100121605188491</v>
      </c>
      <c r="D16">
        <v>6.8949999999999996</v>
      </c>
      <c r="E16">
        <v>0.01</v>
      </c>
      <c r="F16">
        <v>3.9680928208847002</v>
      </c>
      <c r="G16">
        <f t="shared" si="1"/>
        <v>1.0404787338095922</v>
      </c>
      <c r="H16">
        <f t="shared" si="0"/>
        <v>0.21838417044475478</v>
      </c>
      <c r="I16" s="2">
        <f t="shared" si="4"/>
        <v>0.6005711853637844</v>
      </c>
      <c r="J16">
        <f t="shared" si="5"/>
        <v>300.80464248588805</v>
      </c>
      <c r="K16" s="5">
        <f>AVERAGE(J15:J17)</f>
        <v>318.35828967647262</v>
      </c>
      <c r="L16" s="5">
        <f>_xlfn.STDEV.P(J15:J17)</f>
        <v>21.534438563403736</v>
      </c>
    </row>
    <row r="17" spans="1:23" x14ac:dyDescent="0.3">
      <c r="A17" s="6"/>
      <c r="B17">
        <v>7</v>
      </c>
      <c r="C17">
        <v>59.586542359140651</v>
      </c>
      <c r="D17">
        <v>6.8949999999999996</v>
      </c>
      <c r="E17">
        <v>0.01</v>
      </c>
      <c r="F17">
        <v>3.5286439448875995</v>
      </c>
      <c r="G17">
        <f t="shared" si="1"/>
        <v>1.0359163936273477</v>
      </c>
      <c r="H17">
        <f t="shared" si="0"/>
        <v>0.2218531471301122</v>
      </c>
      <c r="I17" s="2">
        <f t="shared" si="4"/>
        <v>0.60434569563847174</v>
      </c>
      <c r="J17">
        <f t="shared" si="5"/>
        <v>305.58284728665609</v>
      </c>
    </row>
    <row r="18" spans="1:23" x14ac:dyDescent="0.3">
      <c r="A18" s="6"/>
      <c r="B18">
        <v>10.5</v>
      </c>
      <c r="C18">
        <v>87.657707076247945</v>
      </c>
      <c r="D18">
        <v>6.8949999999999996</v>
      </c>
      <c r="E18">
        <v>0.01</v>
      </c>
      <c r="F18">
        <v>2.4844089920232051</v>
      </c>
      <c r="G18">
        <f t="shared" si="1"/>
        <v>1.0251552760232088</v>
      </c>
      <c r="H18">
        <f t="shared" si="0"/>
        <v>1.0575376338578415</v>
      </c>
      <c r="I18" s="2">
        <f t="shared" si="4"/>
        <v>0.87924377538494947</v>
      </c>
      <c r="J18">
        <f t="shared" si="5"/>
        <v>1456.6634075176869</v>
      </c>
      <c r="P18">
        <v>1</v>
      </c>
      <c r="Q18">
        <f>571.39*P18^-1.676</f>
        <v>571.39</v>
      </c>
      <c r="S18">
        <f>V10*P18^-1.676</f>
        <v>3920.5028544491852</v>
      </c>
      <c r="U18">
        <f>85999.09*P18^-1.676</f>
        <v>85999.09</v>
      </c>
      <c r="W18">
        <f>478793.1*P18^-1.676</f>
        <v>478793.1</v>
      </c>
    </row>
    <row r="19" spans="1:23" x14ac:dyDescent="0.3">
      <c r="A19" s="6"/>
      <c r="B19">
        <v>10.5</v>
      </c>
      <c r="C19">
        <v>84.860120680197468</v>
      </c>
      <c r="D19">
        <v>6.8949999999999996</v>
      </c>
      <c r="E19">
        <v>0.01</v>
      </c>
      <c r="F19">
        <v>3.9071791153009432</v>
      </c>
      <c r="G19">
        <f t="shared" si="1"/>
        <v>1.0398451326515812</v>
      </c>
      <c r="H19">
        <f t="shared" si="0"/>
        <v>0.84658600478217771</v>
      </c>
      <c r="I19" s="2">
        <f t="shared" si="4"/>
        <v>0.85356019996500843</v>
      </c>
      <c r="J19">
        <f t="shared" si="5"/>
        <v>1166.0964253198042</v>
      </c>
      <c r="K19" s="5">
        <f>AVERAGE(J18:J20)</f>
        <v>1203.5048399462742</v>
      </c>
      <c r="L19" s="5">
        <f>_xlfn.STDEV.P(J18:J20)</f>
        <v>193.25007832291681</v>
      </c>
      <c r="P19">
        <v>30</v>
      </c>
      <c r="Q19">
        <f>571.39*P19^-1.676</f>
        <v>1.91107359755217</v>
      </c>
      <c r="S19">
        <f>V10*P19^-1.676</f>
        <v>13.112531710855555</v>
      </c>
      <c r="U19">
        <f>85999.09*P19^-1.676</f>
        <v>287.63294827090573</v>
      </c>
      <c r="W19">
        <f>478793.1*P19^-1.676</f>
        <v>1601.3735838921855</v>
      </c>
    </row>
    <row r="20" spans="1:23" x14ac:dyDescent="0.3">
      <c r="A20" s="6"/>
      <c r="B20">
        <v>10.5</v>
      </c>
      <c r="C20">
        <v>82.665935271530444</v>
      </c>
      <c r="D20">
        <v>6.8949999999999996</v>
      </c>
      <c r="E20">
        <v>0.01</v>
      </c>
      <c r="F20">
        <v>3.4633792603335758</v>
      </c>
      <c r="G20">
        <f t="shared" si="1"/>
        <v>1.0352405266360236</v>
      </c>
      <c r="H20">
        <f t="shared" si="0"/>
        <v>0.71710990276296682</v>
      </c>
      <c r="I20" s="2">
        <f t="shared" si="4"/>
        <v>0.83157332171945342</v>
      </c>
      <c r="J20">
        <f t="shared" si="5"/>
        <v>987.75468700133138</v>
      </c>
    </row>
  </sheetData>
  <mergeCells count="4">
    <mergeCell ref="A3:A8"/>
    <mergeCell ref="A9:A14"/>
    <mergeCell ref="A15:A20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NF270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Ritt</dc:creator>
  <cp:lastModifiedBy>Cody Ritt</cp:lastModifiedBy>
  <dcterms:created xsi:type="dcterms:W3CDTF">2019-07-23T18:39:09Z</dcterms:created>
  <dcterms:modified xsi:type="dcterms:W3CDTF">2020-08-06T17:02:33Z</dcterms:modified>
</cp:coreProperties>
</file>